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05" windowWidth="11940" windowHeight="3525" activeTab="0"/>
  </bookViews>
  <sheets>
    <sheet name="Main Score Sheet" sheetId="1" r:id="rId1"/>
  </sheets>
  <definedNames>
    <definedName name="Comp_No.">'Main Score Sheet'!$A$11:$A$62</definedName>
    <definedName name="Competitors">'Main Score Sheet'!$A$11:$N$62</definedName>
    <definedName name="Country">'Main Score Sheet'!$F$11:$F$62</definedName>
    <definedName name="Discards">'Main Score Sheet'!$EZ$10:$FI$62</definedName>
    <definedName name="Initials">'Main Score Sheet'!$D$11:$D$62</definedName>
    <definedName name="Name">'Main Score Sheet'!$C$11:$C$62</definedName>
    <definedName name="_xlnm.Print_Area" localSheetId="0">'Main Score Sheet'!$A$1:$EN$62</definedName>
    <definedName name="_xlnm.Print_Titles" localSheetId="0">'Main Score Sheet'!$A:$N,'Main Score Sheet'!$1:$10</definedName>
    <definedName name="Team">'Main Score Sheet'!$H$11:$H$62</definedName>
    <definedName name="Z_04715A07_5E9B_11D1_B060_0020A9003552_.wvu.Cols" localSheetId="0" hidden="1">'Main Score Sheet'!$H:$H,'Main Score Sheet'!$J:$J,'Main Score Sheet'!$M:$M,'Main Score Sheet'!$P:$P,'Main Score Sheet'!$S:$S,'Main Score Sheet'!$W:$W,'Main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Sheet'!$EP:$GN</definedName>
    <definedName name="Z_04715A07_5E9B_11D1_B060_0020A9003552_.wvu.PrintArea" localSheetId="0" hidden="1">'Main Score Sheet'!$A$1:$EN$62</definedName>
    <definedName name="Z_04715A07_5E9B_11D1_B060_0020A9003552_.wvu.PrintTitles" localSheetId="0" hidden="1">'Main Score Sheet'!$A:$N,'Main Score Sheet'!$1:$10</definedName>
    <definedName name="Z_04715A07_5E9B_11D1_B060_0020A9003552_.wvu.Rows" localSheetId="0" hidden="1">'Main Score Sheet'!$7:$7,'Main Score Sheet'!$9:$9,'Main Score Sheet'!$62:$62</definedName>
    <definedName name="Z_D2BE8960_353B_11D1_97A9_0080C73335C5_.wvu.Cols" localSheetId="0" hidden="1">'Main Score Sheet'!$H:$H,'Main Score Sheet'!$J:$J,'Main Score Sheet'!$M:$M,'Main Score Sheet'!$AA:$AA,'Main Score Sheet'!$AD:$AD,'Main Score Sheet'!$AH:$AH,'Main Score Sheet'!$AL:$AL,'Main Score Sheet'!$AO:$AO,'Main Score Sheet'!$AT:$AT,'Main Score Sheet'!$AX:$AX,'Main Score Sheet'!$BA:$BA,'Main Score Sheet'!$BF:$BF,'Main Score Sheet'!$BJ:$BJ,'Main Score Sheet'!$BM:$BM,'Main Score Sheet'!$BR:$BR,'Main Score Sheet'!$BV:$BV,'Main Score Sheet'!$BY:$BY,'Main Score Sheet'!$CD:$CD,'Main Score Sheet'!$CH:$CH,'Main Score Sheet'!$CK:$CK,'Main Score Sheet'!$CP:$CP,'Main Score Sheet'!$CT:$CT,'Main Score Sheet'!$CW:$CW,'Main Score Sheet'!$DB:$DB,'Main Score Sheet'!$DF:$DF,'Main Score Sheet'!$DI:$DI,'Main Score Sheet'!$DN:$DN,'Main Score Sheet'!$DR:$DR,'Main Score Sheet'!$DU:$DU,'Main Score Sheet'!$DZ:$DZ,'Main Score Sheet'!$ED:$ED,'Main Score Sheet'!$EG:$EG,'Main Score Sheet'!$EL:$EL,'Main Score Sheet'!$EO:$GM</definedName>
    <definedName name="Z_D2BE8960_353B_11D1_97A9_0080C73335C5_.wvu.PrintArea" localSheetId="0" hidden="1">'Main Score Sheet'!$A$1:$EN$62</definedName>
    <definedName name="Z_D2BE8960_353B_11D1_97A9_0080C73335C5_.wvu.PrintTitles" localSheetId="0" hidden="1">'Main Score Sheet'!$A:$N,'Main Score Sheet'!$1:$10</definedName>
    <definedName name="Z_D2BE8960_353B_11D1_97A9_0080C73335C5_.wvu.Rows" localSheetId="0" hidden="1">'Main Score Sheet'!$7:$7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John McCurdy</author>
    <author>Tecra740CDT</author>
  </authors>
  <commentList>
    <comment ref="G1" authorId="0">
      <text>
        <r>
          <rPr>
            <b/>
            <sz val="8"/>
            <rFont val="Tahoma"/>
            <family val="0"/>
          </rPr>
          <t>Top three team scores, if used</t>
        </r>
        <r>
          <rPr>
            <sz val="8"/>
            <rFont val="Tahoma"/>
            <family val="0"/>
          </rPr>
          <t xml:space="preserve">
</t>
        </r>
      </text>
    </comment>
    <comment ref="AE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AE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Fastest time set in the entire competition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Date on which this round was flown</t>
        </r>
        <r>
          <rPr>
            <sz val="8"/>
            <rFont val="Tahoma"/>
            <family val="0"/>
          </rPr>
          <t xml:space="preserve">
</t>
        </r>
      </text>
    </comment>
    <comment ref="T2" authorId="0">
      <text>
        <r>
          <rPr>
            <b/>
            <sz val="8"/>
            <rFont val="Tahoma"/>
            <family val="0"/>
          </rPr>
          <t>Time when this round was commenced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Time when this round was completed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Competitor number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Rotation is
used to indicate which competitor will start each round.</t>
        </r>
        <r>
          <rPr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2"/>
          </rPr>
          <t>Enter the competitor name in this column. Start at the top and do not leave spare rows.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the competitors initials here. Up to 3 letters.</t>
        </r>
        <r>
          <rPr>
            <sz val="8"/>
            <rFont val="Tahoma"/>
            <family val="0"/>
          </rPr>
          <t xml:space="preserve">
</t>
        </r>
      </text>
    </comment>
    <comment ref="E10" authorId="1">
      <text>
        <r>
          <rPr>
            <b/>
            <sz val="8"/>
            <rFont val="Tahoma"/>
            <family val="0"/>
          </rPr>
          <t>Radio frequency</t>
        </r>
      </text>
    </comment>
    <comment ref="F10" authorId="0">
      <text>
        <r>
          <rPr>
            <b/>
            <sz val="8"/>
            <rFont val="Tahoma"/>
            <family val="0"/>
          </rPr>
          <t>Enter the name of the  competitors club or country.</t>
        </r>
      </text>
    </comment>
    <comment ref="G10" authorId="0">
      <text>
        <r>
          <rPr>
            <b/>
            <sz val="8"/>
            <rFont val="Tahoma"/>
            <family val="0"/>
          </rPr>
          <t>If team scores are required, enter up to a 3 letter team name here: eg. ENG or MVSA</t>
        </r>
      </text>
    </comment>
    <comment ref="I10" authorId="0">
      <text>
        <r>
          <rPr>
            <b/>
            <sz val="8"/>
            <rFont val="Tahoma"/>
            <family val="0"/>
          </rPr>
          <t>Total individual points for whole competition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Ranking for each competitor in whole competition</t>
        </r>
      </text>
    </comment>
    <comment ref="L10" authorId="0">
      <text>
        <r>
          <rPr>
            <b/>
            <sz val="8"/>
            <rFont val="Tahoma"/>
            <family val="2"/>
          </rPr>
          <t>Total team points for whole competition</t>
        </r>
      </text>
    </comment>
    <comment ref="N10" authorId="0">
      <text>
        <r>
          <rPr>
            <b/>
            <sz val="8"/>
            <rFont val="Tahoma"/>
            <family val="0"/>
          </rPr>
          <t>Ranking for each team in whole competition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Q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0"/>
          </rPr>
          <t>Competitors rank in the competition up to the end of this round</t>
        </r>
        <r>
          <rPr>
            <sz val="8"/>
            <rFont val="Tahoma"/>
            <family val="0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0"/>
          </rPr>
          <t>Competitors total points up to this point in competition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Competitors rank in this round</t>
        </r>
        <r>
          <rPr>
            <sz val="8"/>
            <rFont val="Tahoma"/>
            <family val="0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0"/>
          </rPr>
          <t>Total points for each competitor for this round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Enter penalty points here if required.</t>
        </r>
        <r>
          <rPr>
            <sz val="8"/>
            <rFont val="Tahoma"/>
            <family val="0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Enter time in seconds to 2 decimal places. Eg. 33.00 :-)</t>
        </r>
      </text>
    </comment>
    <comment ref="F8" authorId="0">
      <text>
        <r>
          <rPr>
            <b/>
            <sz val="8"/>
            <rFont val="Tahoma"/>
            <family val="2"/>
          </rPr>
          <t>Enter the round number where the discard becomes active.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Enter comptetition title. Up to two lines - use small font for second line.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<sst xmlns="http://schemas.openxmlformats.org/spreadsheetml/2006/main" count="311" uniqueCount="159">
  <si>
    <t>1st Round</t>
  </si>
  <si>
    <t>Date:</t>
  </si>
  <si>
    <t>2nd Round</t>
  </si>
  <si>
    <t>3rd Round</t>
  </si>
  <si>
    <t>4th Round</t>
  </si>
  <si>
    <t>5th Round</t>
  </si>
  <si>
    <t>6th Round</t>
  </si>
  <si>
    <t>7th Round</t>
  </si>
  <si>
    <t>8th Round</t>
  </si>
  <si>
    <t>9th Round</t>
  </si>
  <si>
    <t>10th Round</t>
  </si>
  <si>
    <t>Start time:</t>
  </si>
  <si>
    <t>End time:</t>
  </si>
  <si>
    <t xml:space="preserve"> </t>
  </si>
  <si>
    <t>Results</t>
  </si>
  <si>
    <t>Team</t>
  </si>
  <si>
    <t>Round 1 Scores</t>
  </si>
  <si>
    <t>Subtotals</t>
  </si>
  <si>
    <t>Round 2 Scores</t>
  </si>
  <si>
    <t>Round 3 Scores</t>
  </si>
  <si>
    <t>Round 4 Scores</t>
  </si>
  <si>
    <t>Round 5 Scores</t>
  </si>
  <si>
    <t>Round 6 Scores</t>
  </si>
  <si>
    <t>Round 7 Scores</t>
  </si>
  <si>
    <t>Round 8 Scores</t>
  </si>
  <si>
    <t>Round 9 Scores</t>
  </si>
  <si>
    <t>Round 10 Scores</t>
  </si>
  <si>
    <t>Rotation</t>
  </si>
  <si>
    <t>Name</t>
  </si>
  <si>
    <t>Initials</t>
  </si>
  <si>
    <t>Country or Club</t>
  </si>
  <si>
    <t>Rank</t>
  </si>
  <si>
    <t>Time</t>
  </si>
  <si>
    <t>Penalty</t>
  </si>
  <si>
    <t>FAI</t>
  </si>
  <si>
    <t>FAI for rank</t>
  </si>
  <si>
    <t>Rank in Round 1</t>
  </si>
  <si>
    <t>FAI Subtotal</t>
  </si>
  <si>
    <t>FAI Rank Subtotal</t>
  </si>
  <si>
    <t>Rank to Round 1</t>
  </si>
  <si>
    <t>Rank in Round 2</t>
  </si>
  <si>
    <t>Rank to Round 2</t>
  </si>
  <si>
    <t>Rank in Round 3</t>
  </si>
  <si>
    <t>Rank to Round 3</t>
  </si>
  <si>
    <t>Rank in Round 4</t>
  </si>
  <si>
    <t>Rank to Round 4</t>
  </si>
  <si>
    <t>Rank in Round 5</t>
  </si>
  <si>
    <t>Rank to Round 5</t>
  </si>
  <si>
    <t>Rank in Round 6</t>
  </si>
  <si>
    <t>Rank to Round 6</t>
  </si>
  <si>
    <t>Rank in Round 7</t>
  </si>
  <si>
    <t>Rank to Round 7</t>
  </si>
  <si>
    <t>Rank in Round 8</t>
  </si>
  <si>
    <t>Rank to Round 8</t>
  </si>
  <si>
    <t>Rank in Round 9</t>
  </si>
  <si>
    <t>Rank to Round 9</t>
  </si>
  <si>
    <t>Rank in Round 10</t>
  </si>
  <si>
    <t>Rank to Round 10</t>
  </si>
  <si>
    <t>Competitor Count</t>
  </si>
  <si>
    <t>letter 1</t>
  </si>
  <si>
    <t>letter 2</t>
  </si>
  <si>
    <t>letter 3</t>
  </si>
  <si>
    <t>country</t>
  </si>
  <si>
    <t>sort-blank</t>
  </si>
  <si>
    <t>Sorted team</t>
  </si>
  <si>
    <t>Member count</t>
  </si>
  <si>
    <t>Team score</t>
  </si>
  <si>
    <t>Ranked Score</t>
  </si>
  <si>
    <t>Team Rank</t>
  </si>
  <si>
    <t>Tm scor row</t>
  </si>
  <si>
    <t>Align rank</t>
  </si>
  <si>
    <t>Team scores</t>
  </si>
  <si>
    <t>Sorted</t>
  </si>
  <si>
    <t>decode</t>
  </si>
  <si>
    <t>ranked score</t>
  </si>
  <si>
    <t>team ranking</t>
  </si>
  <si>
    <t>Discard</t>
  </si>
  <si>
    <t>Number</t>
  </si>
  <si>
    <t>FAI Total</t>
  </si>
  <si>
    <t>Round Zero</t>
  </si>
  <si>
    <t>Frequency</t>
  </si>
  <si>
    <t>Rank in Round 0</t>
  </si>
  <si>
    <t>Round Zero Scores</t>
  </si>
  <si>
    <t>Discard active from round No.</t>
  </si>
  <si>
    <t>Discard at each round during competition</t>
  </si>
  <si>
    <t>Copy of points total for each round ignoring penalties</t>
  </si>
  <si>
    <t>Round started markers</t>
  </si>
  <si>
    <t>Latest round</t>
  </si>
  <si>
    <t>Discard ON/OFF</t>
  </si>
  <si>
    <t>Discard ON</t>
  </si>
  <si>
    <t>K</t>
  </si>
  <si>
    <t>67</t>
  </si>
  <si>
    <t>S</t>
  </si>
  <si>
    <t>76</t>
  </si>
  <si>
    <t>M</t>
  </si>
  <si>
    <t>Taylor</t>
  </si>
  <si>
    <t>P</t>
  </si>
  <si>
    <t xml:space="preserve">  </t>
  </si>
  <si>
    <t>Shellim</t>
  </si>
  <si>
    <t>m</t>
  </si>
  <si>
    <t>72</t>
  </si>
  <si>
    <t>Harrison</t>
  </si>
  <si>
    <t>G</t>
  </si>
  <si>
    <t>80</t>
  </si>
  <si>
    <t>Reed</t>
  </si>
  <si>
    <t>2.4</t>
  </si>
  <si>
    <t>Satinet</t>
  </si>
  <si>
    <t>T</t>
  </si>
  <si>
    <t>69</t>
  </si>
  <si>
    <t>Townsend</t>
  </si>
  <si>
    <t>78</t>
  </si>
  <si>
    <t>Tabero</t>
  </si>
  <si>
    <t>AJ</t>
  </si>
  <si>
    <t>Evans</t>
  </si>
  <si>
    <t>87</t>
  </si>
  <si>
    <t>Clutterbuck</t>
  </si>
  <si>
    <t>58</t>
  </si>
  <si>
    <t>Richardson</t>
  </si>
  <si>
    <t>89</t>
  </si>
  <si>
    <t xml:space="preserve">A </t>
  </si>
  <si>
    <t>86</t>
  </si>
  <si>
    <t>Redsell</t>
  </si>
  <si>
    <t>81</t>
  </si>
  <si>
    <t>Abbotts</t>
  </si>
  <si>
    <t xml:space="preserve">M </t>
  </si>
  <si>
    <t>88</t>
  </si>
  <si>
    <t>Bennett</t>
  </si>
  <si>
    <t>J</t>
  </si>
  <si>
    <t>64</t>
  </si>
  <si>
    <t>Sage</t>
  </si>
  <si>
    <t xml:space="preserve">J </t>
  </si>
  <si>
    <t>90</t>
  </si>
  <si>
    <t>Woods</t>
  </si>
  <si>
    <t>Phillips</t>
  </si>
  <si>
    <t>66</t>
  </si>
  <si>
    <t>57</t>
  </si>
  <si>
    <t>Thornton</t>
  </si>
  <si>
    <t>Hulton</t>
  </si>
  <si>
    <t>F</t>
  </si>
  <si>
    <t>59</t>
  </si>
  <si>
    <t>Smith</t>
  </si>
  <si>
    <t>W</t>
  </si>
  <si>
    <t>82</t>
  </si>
  <si>
    <t>55</t>
  </si>
  <si>
    <t>Mason</t>
  </si>
  <si>
    <t>I</t>
  </si>
  <si>
    <t>Macpherson</t>
  </si>
  <si>
    <t>84</t>
  </si>
  <si>
    <t>Medley-Rose</t>
  </si>
  <si>
    <t>61</t>
  </si>
  <si>
    <t>Eldridge</t>
  </si>
  <si>
    <t>V</t>
  </si>
  <si>
    <t>Jerome</t>
  </si>
  <si>
    <t>R</t>
  </si>
  <si>
    <t>85</t>
  </si>
  <si>
    <t>Robertson</t>
  </si>
  <si>
    <t>62</t>
  </si>
  <si>
    <t>West</t>
  </si>
  <si>
    <t>6/9.09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</si>
</sst>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;"/>
    <numFmt numFmtId="173" formatCode="0.0"/>
    <numFmt numFmtId="174" formatCode="mmmm\ d\,\ yyyy"/>
    <numFmt numFmtId="175" formatCode="0000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0"/>
    </font>
    <font>
      <b/>
      <sz val="10"/>
      <color indexed="9"/>
      <name val="Arial"/>
      <family val="0"/>
    </font>
    <font>
      <sz val="8"/>
      <name val="Arial"/>
      <family val="2"/>
    </font>
    <font>
      <b/>
      <sz val="20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4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9"/>
        <b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42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fgColor indexed="9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61"/>
      </left>
      <right>
        <color indexed="63"/>
      </right>
      <top style="thin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>
        <color indexed="63"/>
      </bottom>
    </border>
    <border>
      <left style="thick">
        <color indexed="61"/>
      </left>
      <right>
        <color indexed="63"/>
      </right>
      <top style="medium"/>
      <bottom>
        <color indexed="63"/>
      </bottom>
    </border>
    <border>
      <left style="thick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61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174" fontId="6" fillId="2" borderId="0" xfId="0" applyNumberFormat="1" applyFont="1" applyFill="1" applyBorder="1" applyAlignment="1" applyProtection="1">
      <alignment horizontal="centerContinuous"/>
      <protection/>
    </xf>
    <xf numFmtId="174" fontId="7" fillId="2" borderId="0" xfId="0" applyNumberFormat="1" applyFont="1" applyFill="1" applyBorder="1" applyAlignment="1" applyProtection="1">
      <alignment horizontal="centerContinuous"/>
      <protection/>
    </xf>
    <xf numFmtId="20" fontId="6" fillId="3" borderId="1" xfId="0" applyNumberFormat="1" applyFont="1" applyFill="1" applyBorder="1" applyAlignment="1" applyProtection="1">
      <alignment horizontal="left"/>
      <protection/>
    </xf>
    <xf numFmtId="2" fontId="0" fillId="4" borderId="2" xfId="0" applyNumberFormat="1" applyFill="1" applyBorder="1" applyAlignment="1" applyProtection="1">
      <alignment/>
      <protection locked="0"/>
    </xf>
    <xf numFmtId="2" fontId="0" fillId="5" borderId="2" xfId="0" applyNumberFormat="1" applyFill="1" applyBorder="1" applyAlignment="1" applyProtection="1">
      <alignment/>
      <protection locked="0"/>
    </xf>
    <xf numFmtId="0" fontId="4" fillId="3" borderId="3" xfId="0" applyNumberFormat="1" applyFont="1" applyFill="1" applyBorder="1" applyAlignment="1" applyProtection="1">
      <alignment/>
      <protection/>
    </xf>
    <xf numFmtId="0" fontId="6" fillId="3" borderId="3" xfId="0" applyNumberFormat="1" applyFont="1" applyFill="1" applyBorder="1" applyAlignment="1" applyProtection="1">
      <alignment horizontal="right"/>
      <protection/>
    </xf>
    <xf numFmtId="14" fontId="6" fillId="3" borderId="3" xfId="0" applyNumberFormat="1" applyFont="1" applyFill="1" applyBorder="1" applyAlignment="1" applyProtection="1">
      <alignment horizontal="left"/>
      <protection locked="0"/>
    </xf>
    <xf numFmtId="14" fontId="6" fillId="3" borderId="3" xfId="0" applyNumberFormat="1" applyFont="1" applyFill="1" applyBorder="1" applyAlignment="1" applyProtection="1">
      <alignment horizontal="left"/>
      <protection/>
    </xf>
    <xf numFmtId="14" fontId="6" fillId="3" borderId="4" xfId="0" applyNumberFormat="1" applyFont="1" applyFill="1" applyBorder="1" applyAlignment="1" applyProtection="1">
      <alignment horizontal="left"/>
      <protection/>
    </xf>
    <xf numFmtId="0" fontId="7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 horizontal="right"/>
      <protection/>
    </xf>
    <xf numFmtId="20" fontId="6" fillId="3" borderId="0" xfId="0" applyNumberFormat="1" applyFont="1" applyFill="1" applyBorder="1" applyAlignment="1" applyProtection="1">
      <alignment horizontal="left"/>
      <protection locked="0"/>
    </xf>
    <xf numFmtId="20" fontId="6" fillId="3" borderId="0" xfId="0" applyNumberFormat="1" applyFont="1" applyFill="1" applyBorder="1" applyAlignment="1" applyProtection="1">
      <alignment horizontal="left"/>
      <protection/>
    </xf>
    <xf numFmtId="15" fontId="7" fillId="3" borderId="0" xfId="0" applyNumberFormat="1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5" fillId="3" borderId="5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73" fontId="0" fillId="2" borderId="0" xfId="0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172" fontId="7" fillId="3" borderId="0" xfId="0" applyNumberFormat="1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right"/>
      <protection/>
    </xf>
    <xf numFmtId="0" fontId="6" fillId="2" borderId="0" xfId="0" applyFont="1" applyFill="1" applyBorder="1" applyAlignment="1" applyProtection="1">
      <alignment horizontal="right"/>
      <protection/>
    </xf>
    <xf numFmtId="20" fontId="6" fillId="2" borderId="0" xfId="0" applyNumberFormat="1" applyFont="1" applyFill="1" applyBorder="1" applyAlignment="1" applyProtection="1">
      <alignment horizontal="left"/>
      <protection/>
    </xf>
    <xf numFmtId="20" fontId="6" fillId="2" borderId="1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left"/>
      <protection/>
    </xf>
    <xf numFmtId="0" fontId="0" fillId="6" borderId="0" xfId="0" applyFill="1" applyBorder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 horizontal="right"/>
      <protection/>
    </xf>
    <xf numFmtId="0" fontId="0" fillId="6" borderId="1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0" fontId="13" fillId="2" borderId="0" xfId="0" applyFont="1" applyFill="1" applyBorder="1" applyAlignment="1" applyProtection="1">
      <alignment/>
      <protection/>
    </xf>
    <xf numFmtId="0" fontId="4" fillId="7" borderId="6" xfId="0" applyFont="1" applyFill="1" applyBorder="1" applyAlignment="1" applyProtection="1">
      <alignment/>
      <protection/>
    </xf>
    <xf numFmtId="0" fontId="4" fillId="7" borderId="7" xfId="0" applyFont="1" applyFill="1" applyBorder="1" applyAlignment="1" applyProtection="1">
      <alignment/>
      <protection/>
    </xf>
    <xf numFmtId="0" fontId="0" fillId="7" borderId="7" xfId="0" applyFill="1" applyBorder="1" applyAlignment="1" applyProtection="1">
      <alignment/>
      <protection/>
    </xf>
    <xf numFmtId="0" fontId="13" fillId="7" borderId="6" xfId="0" applyFont="1" applyFill="1" applyBorder="1" applyAlignment="1" applyProtection="1">
      <alignment/>
      <protection/>
    </xf>
    <xf numFmtId="0" fontId="1" fillId="7" borderId="7" xfId="0" applyFont="1" applyFill="1" applyBorder="1" applyAlignment="1" applyProtection="1">
      <alignment/>
      <protection/>
    </xf>
    <xf numFmtId="0" fontId="4" fillId="2" borderId="8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center"/>
      <protection/>
    </xf>
    <xf numFmtId="0" fontId="10" fillId="2" borderId="7" xfId="0" applyFont="1" applyFill="1" applyBorder="1" applyAlignment="1" applyProtection="1">
      <alignment horizontal="right"/>
      <protection/>
    </xf>
    <xf numFmtId="0" fontId="12" fillId="2" borderId="6" xfId="0" applyFont="1" applyFill="1" applyBorder="1" applyAlignment="1" applyProtection="1">
      <alignment/>
      <protection/>
    </xf>
    <xf numFmtId="0" fontId="12" fillId="2" borderId="7" xfId="0" applyFont="1" applyFill="1" applyBorder="1" applyAlignment="1" applyProtection="1">
      <alignment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0" fillId="2" borderId="9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/>
      <protection/>
    </xf>
    <xf numFmtId="0" fontId="4" fillId="7" borderId="10" xfId="0" applyFont="1" applyFill="1" applyBorder="1" applyAlignment="1" applyProtection="1">
      <alignment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0" xfId="0" applyFill="1" applyBorder="1" applyAlignment="1" applyProtection="1">
      <alignment/>
      <protection/>
    </xf>
    <xf numFmtId="0" fontId="13" fillId="7" borderId="10" xfId="0" applyFont="1" applyFill="1" applyBorder="1" applyAlignment="1" applyProtection="1">
      <alignment/>
      <protection/>
    </xf>
    <xf numFmtId="0" fontId="1" fillId="7" borderId="0" xfId="0" applyFont="1" applyFill="1" applyBorder="1" applyAlignment="1" applyProtection="1">
      <alignment/>
      <protection/>
    </xf>
    <xf numFmtId="0" fontId="4" fillId="2" borderId="2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1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 horizontal="right" textRotation="90" wrapText="1"/>
      <protection/>
    </xf>
    <xf numFmtId="0" fontId="1" fillId="2" borderId="11" xfId="0" applyFont="1" applyFill="1" applyBorder="1" applyAlignment="1" applyProtection="1">
      <alignment horizontal="center" textRotation="90" wrapText="1"/>
      <protection/>
    </xf>
    <xf numFmtId="0" fontId="1" fillId="2" borderId="11" xfId="0" applyFont="1" applyFill="1" applyBorder="1" applyAlignment="1" applyProtection="1">
      <alignment horizontal="left" textRotation="90" wrapText="1"/>
      <protection/>
    </xf>
    <xf numFmtId="0" fontId="1" fillId="7" borderId="12" xfId="0" applyFont="1" applyFill="1" applyBorder="1" applyAlignment="1" applyProtection="1">
      <alignment horizontal="center" textRotation="90"/>
      <protection/>
    </xf>
    <xf numFmtId="0" fontId="1" fillId="7" borderId="13" xfId="0" applyFont="1" applyFill="1" applyBorder="1" applyAlignment="1" applyProtection="1">
      <alignment horizontal="center" textRotation="90"/>
      <protection/>
    </xf>
    <xf numFmtId="0" fontId="1" fillId="7" borderId="11" xfId="0" applyFont="1" applyFill="1" applyBorder="1" applyAlignment="1" applyProtection="1">
      <alignment horizontal="center" textRotation="90"/>
      <protection/>
    </xf>
    <xf numFmtId="0" fontId="1" fillId="2" borderId="11" xfId="0" applyFont="1" applyFill="1" applyBorder="1" applyAlignment="1" applyProtection="1">
      <alignment horizontal="center" textRotation="90"/>
      <protection/>
    </xf>
    <xf numFmtId="0" fontId="1" fillId="2" borderId="13" xfId="0" applyFont="1" applyFill="1" applyBorder="1" applyAlignment="1" applyProtection="1">
      <alignment horizontal="center" textRotation="90" wrapText="1"/>
      <protection/>
    </xf>
    <xf numFmtId="0" fontId="11" fillId="2" borderId="12" xfId="0" applyFont="1" applyFill="1" applyBorder="1" applyAlignment="1" applyProtection="1">
      <alignment horizontal="center" textRotation="90" wrapText="1"/>
      <protection/>
    </xf>
    <xf numFmtId="0" fontId="11" fillId="2" borderId="11" xfId="0" applyFont="1" applyFill="1" applyBorder="1" applyAlignment="1" applyProtection="1">
      <alignment horizontal="center" textRotation="90" wrapText="1"/>
      <protection/>
    </xf>
    <xf numFmtId="0" fontId="8" fillId="2" borderId="13" xfId="0" applyFont="1" applyFill="1" applyBorder="1" applyAlignment="1" applyProtection="1">
      <alignment horizontal="center" textRotation="90" wrapText="1"/>
      <protection/>
    </xf>
    <xf numFmtId="0" fontId="1" fillId="2" borderId="13" xfId="0" applyFont="1" applyFill="1" applyBorder="1" applyAlignment="1" applyProtection="1">
      <alignment horizontal="center" textRotation="90"/>
      <protection/>
    </xf>
    <xf numFmtId="0" fontId="11" fillId="2" borderId="13" xfId="0" applyFont="1" applyFill="1" applyBorder="1" applyAlignment="1" applyProtection="1">
      <alignment horizontal="center" textRotation="90" wrapText="1"/>
      <protection/>
    </xf>
    <xf numFmtId="0" fontId="8" fillId="2" borderId="14" xfId="0" applyFont="1" applyFill="1" applyBorder="1" applyAlignment="1" applyProtection="1">
      <alignment horizontal="center" textRotation="90" wrapText="1"/>
      <protection/>
    </xf>
    <xf numFmtId="0" fontId="0" fillId="0" borderId="0" xfId="0" applyNumberFormat="1" applyAlignment="1" applyProtection="1">
      <alignment textRotation="90" wrapText="1"/>
      <protection/>
    </xf>
    <xf numFmtId="0" fontId="0" fillId="0" borderId="0" xfId="0" applyAlignment="1" applyProtection="1">
      <alignment textRotation="90"/>
      <protection/>
    </xf>
    <xf numFmtId="0" fontId="0" fillId="0" borderId="0" xfId="0" applyAlignment="1" applyProtection="1">
      <alignment textRotation="90" wrapText="1"/>
      <protection/>
    </xf>
    <xf numFmtId="1" fontId="0" fillId="0" borderId="0" xfId="0" applyNumberFormat="1" applyAlignment="1" applyProtection="1">
      <alignment textRotation="90"/>
      <protection/>
    </xf>
    <xf numFmtId="173" fontId="0" fillId="0" borderId="0" xfId="0" applyNumberFormat="1" applyAlignment="1" applyProtection="1">
      <alignment textRotation="90"/>
      <protection/>
    </xf>
    <xf numFmtId="173" fontId="0" fillId="2" borderId="0" xfId="0" applyNumberFormat="1" applyFill="1" applyBorder="1" applyAlignment="1" applyProtection="1">
      <alignment/>
      <protection/>
    </xf>
    <xf numFmtId="2" fontId="0" fillId="4" borderId="0" xfId="0" applyNumberFormat="1" applyFill="1" applyBorder="1" applyAlignment="1" applyProtection="1">
      <alignment/>
      <protection/>
    </xf>
    <xf numFmtId="173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center"/>
      <protection/>
    </xf>
    <xf numFmtId="173" fontId="9" fillId="3" borderId="0" xfId="0" applyNumberFormat="1" applyFont="1" applyFill="1" applyBorder="1" applyAlignment="1" applyProtection="1">
      <alignment/>
      <protection/>
    </xf>
    <xf numFmtId="0" fontId="9" fillId="3" borderId="0" xfId="0" applyFont="1" applyFill="1" applyBorder="1" applyAlignment="1" applyProtection="1">
      <alignment horizontal="right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9" fillId="3" borderId="1" xfId="0" applyFont="1" applyFill="1" applyBorder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0" fillId="5" borderId="0" xfId="0" applyNumberFormat="1" applyFill="1" applyBorder="1" applyAlignment="1" applyProtection="1">
      <alignment/>
      <protection/>
    </xf>
    <xf numFmtId="173" fontId="0" fillId="5" borderId="0" xfId="0" applyNumberFormat="1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 horizontal="center"/>
      <protection/>
    </xf>
    <xf numFmtId="173" fontId="9" fillId="8" borderId="0" xfId="0" applyNumberFormat="1" applyFont="1" applyFill="1" applyBorder="1" applyAlignment="1" applyProtection="1">
      <alignment/>
      <protection/>
    </xf>
    <xf numFmtId="0" fontId="9" fillId="8" borderId="0" xfId="0" applyFont="1" applyFill="1" applyBorder="1" applyAlignment="1" applyProtection="1">
      <alignment horizontal="right"/>
      <protection/>
    </xf>
    <xf numFmtId="0" fontId="9" fillId="8" borderId="0" xfId="0" applyFont="1" applyFill="1" applyBorder="1" applyAlignment="1" applyProtection="1">
      <alignment horizontal="center"/>
      <protection/>
    </xf>
    <xf numFmtId="0" fontId="9" fillId="8" borderId="0" xfId="0" applyNumberFormat="1" applyFont="1" applyFill="1" applyBorder="1" applyAlignment="1" applyProtection="1">
      <alignment horizontal="center"/>
      <protection/>
    </xf>
    <xf numFmtId="0" fontId="9" fillId="8" borderId="1" xfId="0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20" fontId="6" fillId="2" borderId="0" xfId="0" applyNumberFormat="1" applyFont="1" applyFill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 textRotation="90" wrapText="1"/>
      <protection/>
    </xf>
    <xf numFmtId="0" fontId="0" fillId="9" borderId="3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9" borderId="0" xfId="0" applyFill="1" applyBorder="1" applyAlignment="1" applyProtection="1">
      <alignment horizontal="right"/>
      <protection/>
    </xf>
    <xf numFmtId="0" fontId="0" fillId="9" borderId="0" xfId="0" applyFill="1" applyBorder="1" applyAlignment="1" applyProtection="1">
      <alignment horizontal="left"/>
      <protection/>
    </xf>
    <xf numFmtId="0" fontId="18" fillId="9" borderId="3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/>
      <protection/>
    </xf>
    <xf numFmtId="0" fontId="1" fillId="7" borderId="9" xfId="0" applyFont="1" applyFill="1" applyBorder="1" applyAlignment="1" applyProtection="1">
      <alignment/>
      <protection/>
    </xf>
    <xf numFmtId="0" fontId="0" fillId="10" borderId="2" xfId="0" applyFill="1" applyBorder="1" applyAlignment="1" applyProtection="1">
      <alignment/>
      <protection/>
    </xf>
    <xf numFmtId="0" fontId="0" fillId="10" borderId="0" xfId="0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/>
      <protection locked="0"/>
    </xf>
    <xf numFmtId="0" fontId="0" fillId="10" borderId="0" xfId="0" applyFill="1" applyBorder="1" applyAlignment="1" applyProtection="1">
      <alignment/>
      <protection locked="0"/>
    </xf>
    <xf numFmtId="0" fontId="0" fillId="10" borderId="0" xfId="0" applyNumberFormat="1" applyFill="1" applyBorder="1" applyAlignment="1" applyProtection="1">
      <alignment/>
      <protection/>
    </xf>
    <xf numFmtId="173" fontId="0" fillId="10" borderId="0" xfId="0" applyNumberFormat="1" applyFont="1" applyFill="1" applyBorder="1" applyAlignment="1" applyProtection="1">
      <alignment/>
      <protection/>
    </xf>
    <xf numFmtId="0" fontId="0" fillId="1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10" borderId="0" xfId="0" applyFont="1" applyFill="1" applyBorder="1" applyAlignment="1" applyProtection="1">
      <alignment horizontal="right"/>
      <protection/>
    </xf>
    <xf numFmtId="0" fontId="14" fillId="9" borderId="3" xfId="0" applyFont="1" applyFill="1" applyBorder="1" applyAlignment="1" applyProtection="1">
      <alignment horizontal="left"/>
      <protection/>
    </xf>
    <xf numFmtId="0" fontId="14" fillId="9" borderId="3" xfId="0" applyFont="1" applyFill="1" applyBorder="1" applyAlignment="1" applyProtection="1">
      <alignment horizontal="center"/>
      <protection/>
    </xf>
    <xf numFmtId="173" fontId="14" fillId="9" borderId="3" xfId="0" applyNumberFormat="1" applyFont="1" applyFill="1" applyBorder="1" applyAlignment="1" applyProtection="1">
      <alignment/>
      <protection/>
    </xf>
    <xf numFmtId="0" fontId="14" fillId="9" borderId="0" xfId="0" applyFont="1" applyFill="1" applyBorder="1" applyAlignment="1" applyProtection="1">
      <alignment horizontal="left"/>
      <protection/>
    </xf>
    <xf numFmtId="0" fontId="14" fillId="9" borderId="0" xfId="0" applyFont="1" applyFill="1" applyBorder="1" applyAlignment="1" applyProtection="1">
      <alignment horizontal="center"/>
      <protection/>
    </xf>
    <xf numFmtId="173" fontId="14" fillId="9" borderId="0" xfId="0" applyNumberFormat="1" applyFont="1" applyFill="1" applyBorder="1" applyAlignment="1" applyProtection="1">
      <alignment/>
      <protection/>
    </xf>
    <xf numFmtId="2" fontId="0" fillId="6" borderId="0" xfId="0" applyNumberFormat="1" applyFill="1" applyBorder="1" applyAlignment="1" applyProtection="1">
      <alignment horizontal="center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0" fillId="10" borderId="0" xfId="0" applyNumberFormat="1" applyFill="1" applyBorder="1" applyAlignment="1" applyProtection="1">
      <alignment horizontal="center"/>
      <protection locked="0"/>
    </xf>
    <xf numFmtId="2" fontId="0" fillId="11" borderId="2" xfId="0" applyNumberFormat="1" applyFill="1" applyBorder="1" applyAlignment="1" applyProtection="1">
      <alignment/>
      <protection locked="0"/>
    </xf>
    <xf numFmtId="2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 locked="0"/>
    </xf>
    <xf numFmtId="173" fontId="0" fillId="11" borderId="0" xfId="0" applyNumberFormat="1" applyFill="1" applyBorder="1" applyAlignment="1" applyProtection="1">
      <alignment/>
      <protection/>
    </xf>
    <xf numFmtId="0" fontId="0" fillId="11" borderId="0" xfId="0" applyFill="1" applyBorder="1" applyAlignment="1" applyProtection="1">
      <alignment/>
      <protection/>
    </xf>
    <xf numFmtId="0" fontId="0" fillId="11" borderId="0" xfId="0" applyFill="1" applyBorder="1" applyAlignment="1" applyProtection="1">
      <alignment horizontal="center"/>
      <protection/>
    </xf>
    <xf numFmtId="173" fontId="9" fillId="11" borderId="0" xfId="0" applyNumberFormat="1" applyFont="1" applyFill="1" applyBorder="1" applyAlignment="1" applyProtection="1">
      <alignment/>
      <protection/>
    </xf>
    <xf numFmtId="0" fontId="9" fillId="11" borderId="0" xfId="0" applyFont="1" applyFill="1" applyBorder="1" applyAlignment="1" applyProtection="1">
      <alignment horizontal="right"/>
      <protection/>
    </xf>
    <xf numFmtId="0" fontId="9" fillId="11" borderId="0" xfId="0" applyFont="1" applyFill="1" applyBorder="1" applyAlignment="1" applyProtection="1">
      <alignment horizontal="center"/>
      <protection/>
    </xf>
    <xf numFmtId="2" fontId="0" fillId="12" borderId="2" xfId="0" applyNumberFormat="1" applyFill="1" applyBorder="1" applyAlignment="1" applyProtection="1">
      <alignment/>
      <protection locked="0"/>
    </xf>
    <xf numFmtId="2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 locked="0"/>
    </xf>
    <xf numFmtId="173" fontId="0" fillId="12" borderId="0" xfId="0" applyNumberFormat="1" applyFill="1" applyBorder="1" applyAlignment="1" applyProtection="1">
      <alignment/>
      <protection/>
    </xf>
    <xf numFmtId="0" fontId="0" fillId="12" borderId="0" xfId="0" applyFill="1" applyBorder="1" applyAlignment="1" applyProtection="1">
      <alignment/>
      <protection/>
    </xf>
    <xf numFmtId="0" fontId="0" fillId="12" borderId="0" xfId="0" applyFill="1" applyBorder="1" applyAlignment="1" applyProtection="1">
      <alignment horizontal="center"/>
      <protection/>
    </xf>
    <xf numFmtId="173" fontId="9" fillId="12" borderId="0" xfId="0" applyNumberFormat="1" applyFont="1" applyFill="1" applyBorder="1" applyAlignment="1" applyProtection="1">
      <alignment/>
      <protection/>
    </xf>
    <xf numFmtId="0" fontId="9" fillId="12" borderId="0" xfId="0" applyFont="1" applyFill="1" applyBorder="1" applyAlignment="1" applyProtection="1">
      <alignment horizontal="right"/>
      <protection/>
    </xf>
    <xf numFmtId="0" fontId="9" fillId="12" borderId="0" xfId="0" applyFont="1" applyFill="1" applyBorder="1" applyAlignment="1" applyProtection="1">
      <alignment horizontal="center"/>
      <protection/>
    </xf>
    <xf numFmtId="49" fontId="0" fillId="2" borderId="0" xfId="0" applyNumberFormat="1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/>
      <protection/>
    </xf>
    <xf numFmtId="173" fontId="0" fillId="2" borderId="13" xfId="0" applyNumberFormat="1" applyFont="1" applyFill="1" applyBorder="1" applyAlignment="1" applyProtection="1">
      <alignment/>
      <protection/>
    </xf>
    <xf numFmtId="0" fontId="0" fillId="2" borderId="13" xfId="0" applyFont="1" applyFill="1" applyBorder="1" applyAlignment="1" applyProtection="1">
      <alignment horizontal="right"/>
      <protection/>
    </xf>
    <xf numFmtId="173" fontId="0" fillId="2" borderId="13" xfId="0" applyNumberFormat="1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center"/>
      <protection/>
    </xf>
    <xf numFmtId="2" fontId="0" fillId="11" borderId="11" xfId="0" applyNumberFormat="1" applyFill="1" applyBorder="1" applyAlignment="1" applyProtection="1">
      <alignment/>
      <protection locked="0"/>
    </xf>
    <xf numFmtId="2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 locked="0"/>
    </xf>
    <xf numFmtId="173" fontId="0" fillId="11" borderId="13" xfId="0" applyNumberFormat="1" applyFill="1" applyBorder="1" applyAlignment="1" applyProtection="1">
      <alignment/>
      <protection/>
    </xf>
    <xf numFmtId="0" fontId="0" fillId="11" borderId="13" xfId="0" applyFill="1" applyBorder="1" applyAlignment="1" applyProtection="1">
      <alignment/>
      <protection/>
    </xf>
    <xf numFmtId="0" fontId="0" fillId="11" borderId="13" xfId="0" applyFill="1" applyBorder="1" applyAlignment="1" applyProtection="1">
      <alignment horizontal="center"/>
      <protection/>
    </xf>
    <xf numFmtId="173" fontId="9" fillId="11" borderId="13" xfId="0" applyNumberFormat="1" applyFont="1" applyFill="1" applyBorder="1" applyAlignment="1" applyProtection="1">
      <alignment/>
      <protection/>
    </xf>
    <xf numFmtId="0" fontId="9" fillId="11" borderId="13" xfId="0" applyFont="1" applyFill="1" applyBorder="1" applyAlignment="1" applyProtection="1">
      <alignment horizontal="right"/>
      <protection/>
    </xf>
    <xf numFmtId="0" fontId="9" fillId="11" borderId="13" xfId="0" applyFont="1" applyFill="1" applyBorder="1" applyAlignment="1" applyProtection="1">
      <alignment horizontal="center"/>
      <protection/>
    </xf>
    <xf numFmtId="2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 locked="0"/>
    </xf>
    <xf numFmtId="173" fontId="0" fillId="4" borderId="13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center"/>
      <protection/>
    </xf>
    <xf numFmtId="173" fontId="9" fillId="3" borderId="13" xfId="0" applyNumberFormat="1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horizontal="right"/>
      <protection/>
    </xf>
    <xf numFmtId="0" fontId="9" fillId="3" borderId="13" xfId="0" applyFont="1" applyFill="1" applyBorder="1" applyAlignment="1" applyProtection="1">
      <alignment horizontal="center"/>
      <protection/>
    </xf>
    <xf numFmtId="2" fontId="0" fillId="4" borderId="11" xfId="0" applyNumberFormat="1" applyFill="1" applyBorder="1" applyAlignment="1" applyProtection="1">
      <alignment/>
      <protection locked="0"/>
    </xf>
    <xf numFmtId="0" fontId="9" fillId="3" borderId="13" xfId="0" applyNumberFormat="1" applyFont="1" applyFill="1" applyBorder="1" applyAlignment="1" applyProtection="1">
      <alignment horizontal="center"/>
      <protection/>
    </xf>
    <xf numFmtId="0" fontId="9" fillId="3" borderId="14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/>
    </xf>
    <xf numFmtId="17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73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23" fillId="1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>
      <alignment/>
      <protection/>
    </xf>
    <xf numFmtId="0" fontId="6" fillId="3" borderId="2" xfId="0" applyFont="1" applyFill="1" applyBorder="1" applyAlignment="1" applyProtection="1">
      <alignment/>
      <protection/>
    </xf>
    <xf numFmtId="0" fontId="25" fillId="3" borderId="2" xfId="0" applyFont="1" applyFill="1" applyBorder="1" applyAlignment="1" applyProtection="1">
      <alignment/>
      <protection/>
    </xf>
    <xf numFmtId="0" fontId="24" fillId="13" borderId="0" xfId="0" applyFont="1" applyFill="1" applyBorder="1" applyAlignment="1" applyProtection="1" quotePrefix="1">
      <alignment/>
      <protection/>
    </xf>
    <xf numFmtId="0" fontId="5" fillId="3" borderId="15" xfId="0" applyFont="1" applyFill="1" applyBorder="1" applyAlignment="1" applyProtection="1">
      <alignment/>
      <protection/>
    </xf>
    <xf numFmtId="0" fontId="7" fillId="3" borderId="16" xfId="0" applyFont="1" applyFill="1" applyBorder="1" applyAlignment="1" applyProtection="1">
      <alignment/>
      <protection/>
    </xf>
    <xf numFmtId="0" fontId="6" fillId="3" borderId="16" xfId="0" applyFont="1" applyFill="1" applyBorder="1" applyAlignment="1" applyProtection="1">
      <alignment/>
      <protection/>
    </xf>
    <xf numFmtId="0" fontId="6" fillId="2" borderId="16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4" fillId="2" borderId="17" xfId="0" applyFont="1" applyFill="1" applyBorder="1" applyAlignment="1" applyProtection="1">
      <alignment/>
      <protection/>
    </xf>
    <xf numFmtId="0" fontId="4" fillId="2" borderId="16" xfId="0" applyFont="1" applyFill="1" applyBorder="1" applyAlignment="1" applyProtection="1">
      <alignment/>
      <protection/>
    </xf>
    <xf numFmtId="2" fontId="0" fillId="4" borderId="16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4" borderId="18" xfId="0" applyNumberFormat="1" applyFill="1" applyBorder="1" applyAlignment="1" applyProtection="1">
      <alignment/>
      <protection locked="0"/>
    </xf>
    <xf numFmtId="0" fontId="24" fillId="13" borderId="0" xfId="0" applyFont="1" applyFill="1" applyBorder="1" applyAlignment="1" applyProtection="1">
      <alignment horizontal="left"/>
      <protection locked="0"/>
    </xf>
    <xf numFmtId="0" fontId="18" fillId="2" borderId="0" xfId="0" applyFont="1" applyFill="1" applyBorder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0" fillId="15" borderId="0" xfId="0" applyFill="1" applyAlignment="1" applyProtection="1">
      <alignment/>
      <protection/>
    </xf>
    <xf numFmtId="0" fontId="14" fillId="15" borderId="0" xfId="0" applyFont="1" applyFill="1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5" borderId="19" xfId="0" applyFill="1" applyBorder="1" applyAlignment="1" applyProtection="1">
      <alignment/>
      <protection/>
    </xf>
    <xf numFmtId="0" fontId="14" fillId="16" borderId="0" xfId="0" applyFont="1" applyFill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14" fillId="17" borderId="0" xfId="0" applyFon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14" fillId="18" borderId="0" xfId="0" applyFont="1" applyFill="1" applyAlignment="1" applyProtection="1">
      <alignment/>
      <protection/>
    </xf>
    <xf numFmtId="0" fontId="0" fillId="18" borderId="0" xfId="0" applyFill="1" applyAlignment="1" applyProtection="1">
      <alignment/>
      <protection/>
    </xf>
    <xf numFmtId="0" fontId="0" fillId="18" borderId="19" xfId="0" applyFill="1" applyBorder="1" applyAlignment="1" applyProtection="1">
      <alignment/>
      <protection/>
    </xf>
    <xf numFmtId="0" fontId="1" fillId="2" borderId="20" xfId="0" applyFont="1" applyFill="1" applyBorder="1" applyAlignment="1" applyProtection="1">
      <alignment horizontal="center" textRotation="90"/>
      <protection/>
    </xf>
    <xf numFmtId="0" fontId="19" fillId="19" borderId="3" xfId="0" applyFont="1" applyFill="1" applyBorder="1" applyAlignment="1" applyProtection="1">
      <alignment horizontal="right" vertical="center" textRotation="90" shrinkToFit="1"/>
      <protection/>
    </xf>
    <xf numFmtId="0" fontId="20" fillId="19" borderId="0" xfId="0" applyFont="1" applyFill="1" applyAlignment="1">
      <alignment horizontal="right" vertical="center" textRotation="90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FFFFFF"/>
      </font>
      <fill>
        <patternFill>
          <bgColor rgb="FF339933"/>
        </patternFill>
      </fill>
      <border/>
    </dxf>
    <dxf>
      <font>
        <b/>
        <i val="0"/>
        <color rgb="FFFFFFFF"/>
      </font>
      <fill>
        <patternFill>
          <bgColor rgb="FF3366FF"/>
        </patternFill>
      </fill>
      <border/>
    </dxf>
    <dxf>
      <font>
        <b/>
        <i val="0"/>
        <strike val="0"/>
        <color rgb="FFFFFFFF"/>
      </font>
      <fill>
        <patternFill>
          <bgColor rgb="FF666699"/>
        </patternFill>
      </fill>
      <border/>
    </dxf>
    <dxf>
      <font>
        <b/>
        <i val="0"/>
        <color rgb="FFFFFFFF"/>
      </font>
      <fill>
        <patternFill>
          <bgColor rgb="FFFF8080"/>
        </patternFill>
      </fill>
      <border/>
    </dxf>
    <dxf>
      <font>
        <b/>
        <i val="0"/>
        <color rgb="FFFFFFFF"/>
      </font>
      <fill>
        <patternFill>
          <bgColor rgb="FF008080"/>
        </patternFill>
      </fill>
      <border/>
    </dxf>
    <dxf>
      <font>
        <b/>
        <i val="0"/>
        <color rgb="FFFFFFFF"/>
      </font>
      <fill>
        <patternFill>
          <bgColor rgb="FF008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504825</xdr:colOff>
      <xdr:row>2</xdr:row>
      <xdr:rowOff>190500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" y="38100"/>
          <a:ext cx="3009900" cy="5524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Title Line 1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Title Line 2</a:t>
          </a:r>
        </a:p>
      </xdr:txBody>
    </xdr:sp>
    <xdr:clientData/>
  </xdr:twoCellAnchor>
  <xdr:twoCellAnchor>
    <xdr:from>
      <xdr:col>0</xdr:col>
      <xdr:colOff>38100</xdr:colOff>
      <xdr:row>2</xdr:row>
      <xdr:rowOff>190500</xdr:rowOff>
    </xdr:from>
    <xdr:to>
      <xdr:col>5</xdr:col>
      <xdr:colOff>504825</xdr:colOff>
      <xdr:row>5</xdr:row>
      <xdr:rowOff>38100</xdr:rowOff>
    </xdr:to>
    <xdr:sp>
      <xdr:nvSpPr>
        <xdr:cNvPr id="2" name="Text 2"/>
        <xdr:cNvSpPr txBox="1">
          <a:spLocks noChangeArrowheads="1"/>
        </xdr:cNvSpPr>
      </xdr:nvSpPr>
      <xdr:spPr>
        <a:xfrm>
          <a:off x="38100" y="590550"/>
          <a:ext cx="3009900" cy="285750"/>
        </a:xfrm>
        <a:prstGeom prst="rect">
          <a:avLst/>
        </a:prstGeom>
        <a:solidFill>
          <a:srgbClr val="E3E3E3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F3F Spreadsheet v2.02 © John McCurdy 1996-1999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Contact http://www.mccurdy.co.uk/f3f for updates</a:t>
          </a:r>
        </a:p>
      </xdr:txBody>
    </xdr:sp>
    <xdr:clientData/>
  </xdr:twoCellAnchor>
  <xdr:twoCellAnchor>
    <xdr:from>
      <xdr:col>25</xdr:col>
      <xdr:colOff>0</xdr:colOff>
      <xdr:row>1</xdr:row>
      <xdr:rowOff>9525</xdr:rowOff>
    </xdr:from>
    <xdr:to>
      <xdr:col>28</xdr:col>
      <xdr:colOff>85725</xdr:colOff>
      <xdr:row>2</xdr:row>
      <xdr:rowOff>161925</xdr:rowOff>
    </xdr:to>
    <xdr:sp>
      <xdr:nvSpPr>
        <xdr:cNvPr id="3" name="Text 4"/>
        <xdr:cNvSpPr txBox="1">
          <a:spLocks noChangeArrowheads="1"/>
        </xdr:cNvSpPr>
      </xdr:nvSpPr>
      <xdr:spPr>
        <a:xfrm>
          <a:off x="8410575" y="200025"/>
          <a:ext cx="962025" cy="361950"/>
        </a:xfrm>
        <a:prstGeom prst="rect">
          <a:avLst/>
        </a:prstGeom>
        <a:solidFill>
          <a:srgbClr val="993366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Competition 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N63"/>
  <sheetViews>
    <sheetView showGridLines="0" showRowColHeaders="0" tabSelected="1" zoomScale="75" zoomScaleNormal="75" zoomScaleSheetLayoutView="50" workbookViewId="0" topLeftCell="A1">
      <pane xSplit="14" ySplit="10" topLeftCell="O11" activePane="bottomRight" state="frozen"/>
      <selection pane="topLeft" activeCell="A1" sqref="A1"/>
      <selection pane="topRight" activeCell="I1" sqref="I1"/>
      <selection pane="bottomLeft" activeCell="A21" sqref="A21"/>
      <selection pane="bottomRight" activeCell="Q27" sqref="Q27"/>
    </sheetView>
  </sheetViews>
  <sheetFormatPr defaultColWidth="9.140625" defaultRowHeight="12.75"/>
  <cols>
    <col min="1" max="1" width="3.28125" style="26" customWidth="1"/>
    <col min="2" max="2" width="3.00390625" style="26" customWidth="1"/>
    <col min="3" max="3" width="20.7109375" style="26" customWidth="1"/>
    <col min="4" max="4" width="4.421875" style="26" customWidth="1"/>
    <col min="5" max="5" width="6.7109375" style="26" customWidth="1"/>
    <col min="6" max="6" width="8.140625" style="26" customWidth="1"/>
    <col min="7" max="7" width="5.7109375" style="26" customWidth="1"/>
    <col min="8" max="8" width="5.28125" style="26" hidden="1" customWidth="1"/>
    <col min="9" max="9" width="10.421875" style="26" bestFit="1" customWidth="1"/>
    <col min="10" max="10" width="7.421875" style="26" hidden="1" customWidth="1"/>
    <col min="11" max="11" width="6.7109375" style="26" bestFit="1" customWidth="1"/>
    <col min="12" max="12" width="10.140625" style="26" bestFit="1" customWidth="1"/>
    <col min="13" max="13" width="8.28125" style="26" hidden="1" customWidth="1"/>
    <col min="14" max="14" width="5.00390625" style="26" bestFit="1" customWidth="1"/>
    <col min="15" max="15" width="7.28125" style="26" customWidth="1"/>
    <col min="16" max="16" width="6.8515625" style="26" hidden="1" customWidth="1"/>
    <col min="17" max="17" width="5.8515625" style="26" customWidth="1"/>
    <col min="18" max="18" width="6.57421875" style="26" customWidth="1"/>
    <col min="19" max="19" width="6.57421875" style="26" hidden="1" customWidth="1"/>
    <col min="20" max="20" width="5.28125" style="26" customWidth="1"/>
    <col min="21" max="21" width="1.7109375" style="26" customWidth="1"/>
    <col min="22" max="22" width="8.140625" style="26" customWidth="1"/>
    <col min="23" max="23" width="8.140625" style="26" hidden="1" customWidth="1"/>
    <col min="24" max="24" width="5.28125" style="26" customWidth="1"/>
    <col min="25" max="25" width="1.7109375" style="26" customWidth="1"/>
    <col min="26" max="26" width="7.28125" style="26" customWidth="1"/>
    <col min="27" max="27" width="6.140625" style="26" hidden="1" customWidth="1"/>
    <col min="28" max="28" width="5.8515625" style="26" customWidth="1"/>
    <col min="29" max="29" width="6.57421875" style="26" customWidth="1"/>
    <col min="30" max="30" width="7.421875" style="26" hidden="1" customWidth="1"/>
    <col min="31" max="31" width="5.28125" style="26" customWidth="1"/>
    <col min="32" max="32" width="1.7109375" style="26" customWidth="1"/>
    <col min="33" max="33" width="8.140625" style="26" customWidth="1"/>
    <col min="34" max="34" width="7.421875" style="26" hidden="1" customWidth="1"/>
    <col min="35" max="35" width="5.28125" style="26" customWidth="1"/>
    <col min="36" max="36" width="1.7109375" style="26" customWidth="1"/>
    <col min="37" max="37" width="7.28125" style="26" customWidth="1"/>
    <col min="38" max="38" width="7.140625" style="26" hidden="1" customWidth="1"/>
    <col min="39" max="39" width="5.8515625" style="26" customWidth="1"/>
    <col min="40" max="40" width="6.57421875" style="26" customWidth="1"/>
    <col min="41" max="41" width="7.421875" style="26" hidden="1" customWidth="1"/>
    <col min="42" max="42" width="5.28125" style="26" customWidth="1"/>
    <col min="43" max="43" width="1.7109375" style="26" customWidth="1"/>
    <col min="44" max="44" width="8.140625" style="26" customWidth="1"/>
    <col min="45" max="45" width="4.00390625" style="26" customWidth="1"/>
    <col min="46" max="46" width="7.421875" style="26" hidden="1" customWidth="1"/>
    <col min="47" max="47" width="5.28125" style="26" customWidth="1"/>
    <col min="48" max="48" width="1.7109375" style="26" customWidth="1"/>
    <col min="49" max="49" width="7.28125" style="26" customWidth="1"/>
    <col min="50" max="50" width="7.140625" style="26" hidden="1" customWidth="1"/>
    <col min="51" max="51" width="5.8515625" style="26" customWidth="1"/>
    <col min="52" max="52" width="6.57421875" style="26" customWidth="1"/>
    <col min="53" max="53" width="7.421875" style="26" hidden="1" customWidth="1"/>
    <col min="54" max="54" width="5.28125" style="26" customWidth="1"/>
    <col min="55" max="55" width="1.7109375" style="26" customWidth="1"/>
    <col min="56" max="56" width="8.140625" style="26" customWidth="1"/>
    <col min="57" max="57" width="4.00390625" style="26" customWidth="1"/>
    <col min="58" max="58" width="7.421875" style="26" hidden="1" customWidth="1"/>
    <col min="59" max="59" width="5.28125" style="26" customWidth="1"/>
    <col min="60" max="60" width="1.7109375" style="26" customWidth="1"/>
    <col min="61" max="61" width="7.28125" style="26" customWidth="1"/>
    <col min="62" max="62" width="6.140625" style="26" hidden="1" customWidth="1"/>
    <col min="63" max="63" width="5.8515625" style="26" customWidth="1"/>
    <col min="64" max="64" width="6.57421875" style="26" customWidth="1"/>
    <col min="65" max="65" width="7.421875" style="26" hidden="1" customWidth="1"/>
    <col min="66" max="66" width="5.28125" style="26" customWidth="1"/>
    <col min="67" max="67" width="1.7109375" style="26" customWidth="1"/>
    <col min="68" max="68" width="8.140625" style="26" customWidth="1"/>
    <col min="69" max="69" width="4.00390625" style="26" customWidth="1"/>
    <col min="70" max="70" width="7.421875" style="26" hidden="1" customWidth="1"/>
    <col min="71" max="71" width="5.28125" style="26" customWidth="1"/>
    <col min="72" max="72" width="1.7109375" style="26" customWidth="1"/>
    <col min="73" max="73" width="7.28125" style="26" customWidth="1"/>
    <col min="74" max="74" width="7.140625" style="26" hidden="1" customWidth="1"/>
    <col min="75" max="75" width="5.8515625" style="26" customWidth="1"/>
    <col min="76" max="76" width="6.57421875" style="26" customWidth="1"/>
    <col min="77" max="77" width="7.421875" style="26" hidden="1" customWidth="1"/>
    <col min="78" max="78" width="5.28125" style="26" customWidth="1"/>
    <col min="79" max="79" width="1.7109375" style="26" customWidth="1"/>
    <col min="80" max="80" width="8.140625" style="26" customWidth="1"/>
    <col min="81" max="81" width="4.00390625" style="26" customWidth="1"/>
    <col min="82" max="82" width="7.421875" style="26" hidden="1" customWidth="1"/>
    <col min="83" max="83" width="5.28125" style="26" customWidth="1"/>
    <col min="84" max="84" width="1.7109375" style="26" customWidth="1"/>
    <col min="85" max="85" width="7.28125" style="26" customWidth="1"/>
    <col min="86" max="86" width="7.28125" style="26" hidden="1" customWidth="1"/>
    <col min="87" max="87" width="5.8515625" style="26" customWidth="1"/>
    <col min="88" max="88" width="6.57421875" style="26" customWidth="1"/>
    <col min="89" max="89" width="7.421875" style="26" hidden="1" customWidth="1"/>
    <col min="90" max="90" width="5.28125" style="26" customWidth="1"/>
    <col min="91" max="91" width="1.7109375" style="26" customWidth="1"/>
    <col min="92" max="92" width="8.140625" style="26" customWidth="1"/>
    <col min="93" max="93" width="4.00390625" style="26" customWidth="1"/>
    <col min="94" max="94" width="7.421875" style="26" hidden="1" customWidth="1"/>
    <col min="95" max="95" width="5.28125" style="26" customWidth="1"/>
    <col min="96" max="96" width="1.7109375" style="26" customWidth="1"/>
    <col min="97" max="97" width="7.28125" style="26" customWidth="1"/>
    <col min="98" max="98" width="2.421875" style="26" hidden="1" customWidth="1"/>
    <col min="99" max="99" width="5.8515625" style="26" customWidth="1"/>
    <col min="100" max="100" width="6.57421875" style="26" customWidth="1"/>
    <col min="101" max="101" width="8.421875" style="26" hidden="1" customWidth="1"/>
    <col min="102" max="102" width="5.28125" style="26" customWidth="1"/>
    <col min="103" max="103" width="1.7109375" style="26" customWidth="1"/>
    <col min="104" max="104" width="8.140625" style="26" customWidth="1"/>
    <col min="105" max="105" width="4.00390625" style="26" customWidth="1"/>
    <col min="106" max="106" width="8.421875" style="26" hidden="1" customWidth="1"/>
    <col min="107" max="107" width="5.28125" style="26" customWidth="1"/>
    <col min="108" max="108" width="1.7109375" style="26" customWidth="1"/>
    <col min="109" max="109" width="7.28125" style="26" customWidth="1"/>
    <col min="110" max="110" width="2.421875" style="26" hidden="1" customWidth="1"/>
    <col min="111" max="111" width="5.8515625" style="26" customWidth="1"/>
    <col min="112" max="112" width="6.57421875" style="26" customWidth="1"/>
    <col min="113" max="113" width="8.421875" style="26" hidden="1" customWidth="1"/>
    <col min="114" max="114" width="5.28125" style="26" customWidth="1"/>
    <col min="115" max="115" width="1.7109375" style="26" customWidth="1"/>
    <col min="116" max="116" width="8.140625" style="26" customWidth="1"/>
    <col min="117" max="117" width="4.00390625" style="26" customWidth="1"/>
    <col min="118" max="118" width="8.421875" style="26" hidden="1" customWidth="1"/>
    <col min="119" max="119" width="5.28125" style="26" customWidth="1"/>
    <col min="120" max="120" width="1.7109375" style="26" customWidth="1"/>
    <col min="121" max="121" width="7.28125" style="26" customWidth="1"/>
    <col min="122" max="122" width="2.421875" style="26" hidden="1" customWidth="1"/>
    <col min="123" max="123" width="5.8515625" style="26" customWidth="1"/>
    <col min="124" max="124" width="6.57421875" style="26" customWidth="1"/>
    <col min="125" max="125" width="8.421875" style="26" hidden="1" customWidth="1"/>
    <col min="126" max="126" width="5.28125" style="26" customWidth="1"/>
    <col min="127" max="127" width="1.7109375" style="26" customWidth="1"/>
    <col min="128" max="128" width="8.140625" style="26" customWidth="1"/>
    <col min="129" max="129" width="4.00390625" style="26" customWidth="1"/>
    <col min="130" max="130" width="8.421875" style="26" hidden="1" customWidth="1"/>
    <col min="131" max="131" width="5.28125" style="26" customWidth="1"/>
    <col min="132" max="132" width="1.7109375" style="26" customWidth="1"/>
    <col min="133" max="133" width="7.28125" style="26" customWidth="1"/>
    <col min="134" max="134" width="2.421875" style="26" hidden="1" customWidth="1"/>
    <col min="135" max="135" width="5.8515625" style="26" customWidth="1"/>
    <col min="136" max="136" width="6.57421875" style="26" customWidth="1"/>
    <col min="137" max="137" width="8.421875" style="26" hidden="1" customWidth="1"/>
    <col min="138" max="138" width="5.28125" style="26" customWidth="1"/>
    <col min="139" max="139" width="1.7109375" style="26" customWidth="1"/>
    <col min="140" max="140" width="8.140625" style="26" customWidth="1"/>
    <col min="141" max="141" width="4.00390625" style="26" customWidth="1"/>
    <col min="142" max="142" width="8.421875" style="26" hidden="1" customWidth="1"/>
    <col min="143" max="143" width="5.28125" style="26" customWidth="1"/>
    <col min="144" max="145" width="1.7109375" style="26" customWidth="1"/>
    <col min="146" max="146" width="5.7109375" style="26" hidden="1" customWidth="1"/>
    <col min="147" max="147" width="41.421875" style="26" hidden="1" customWidth="1"/>
    <col min="148" max="152" width="3.57421875" style="26" hidden="1" customWidth="1"/>
    <col min="153" max="153" width="17.7109375" style="26" hidden="1" customWidth="1"/>
    <col min="154" max="154" width="3.57421875" style="26" hidden="1" customWidth="1"/>
    <col min="155" max="155" width="7.00390625" style="26" hidden="1" customWidth="1"/>
    <col min="156" max="156" width="53.421875" style="26" hidden="1" customWidth="1"/>
    <col min="157" max="164" width="2.28125" style="26" hidden="1" customWidth="1"/>
    <col min="165" max="165" width="3.140625" style="26" hidden="1" customWidth="1"/>
    <col min="166" max="167" width="9.7109375" style="26" hidden="1" customWidth="1"/>
    <col min="168" max="168" width="10.00390625" style="26" hidden="1" customWidth="1"/>
    <col min="169" max="169" width="7.00390625" style="26" hidden="1" customWidth="1"/>
    <col min="170" max="170" width="4.28125" style="26" hidden="1" customWidth="1"/>
    <col min="171" max="171" width="7.57421875" style="26" hidden="1" customWidth="1"/>
    <col min="172" max="177" width="4.28125" style="26" hidden="1" customWidth="1"/>
    <col min="178" max="178" width="7.57421875" style="26" hidden="1" customWidth="1"/>
    <col min="179" max="179" width="5.7109375" style="26" hidden="1" customWidth="1"/>
    <col min="180" max="180" width="7.57421875" style="26" hidden="1" customWidth="1"/>
    <col min="181" max="183" width="4.28125" style="26" hidden="1" customWidth="1"/>
    <col min="184" max="184" width="9.7109375" style="26" hidden="1" customWidth="1"/>
    <col min="185" max="185" width="4.28125" style="26" hidden="1" customWidth="1"/>
    <col min="186" max="186" width="3.421875" style="26" hidden="1" customWidth="1"/>
    <col min="187" max="187" width="17.421875" style="26" hidden="1" customWidth="1"/>
    <col min="188" max="188" width="2.28125" style="26" hidden="1" customWidth="1"/>
    <col min="189" max="189" width="4.28125" style="27" hidden="1" customWidth="1"/>
    <col min="190" max="193" width="4.28125" style="26" hidden="1" customWidth="1"/>
    <col min="194" max="194" width="4.28125" style="28" hidden="1" customWidth="1"/>
    <col min="195" max="195" width="4.28125" style="26" hidden="1" customWidth="1"/>
    <col min="196" max="196" width="9.7109375" style="26" hidden="1" customWidth="1"/>
    <col min="197" max="16384" width="9.140625" style="26" customWidth="1"/>
  </cols>
  <sheetData>
    <row r="1" spans="1:155" ht="15" customHeight="1">
      <c r="A1" s="22"/>
      <c r="B1" s="23"/>
      <c r="C1" s="23"/>
      <c r="D1" s="23"/>
      <c r="E1" s="23"/>
      <c r="F1" s="23"/>
      <c r="G1" s="246" t="s">
        <v>15</v>
      </c>
      <c r="H1" s="125"/>
      <c r="I1" s="141">
        <f>IF(GM11&lt;&gt;"","Team "&amp;GM11,"")</f>
      </c>
      <c r="J1" s="142">
        <f>GM11</f>
      </c>
      <c r="K1" s="142">
        <f aca="true" t="shared" si="0" ref="K1:L3">GK11</f>
      </c>
      <c r="L1" s="143">
        <f t="shared" si="0"/>
      </c>
      <c r="M1" s="129"/>
      <c r="N1" s="129"/>
      <c r="O1" s="24" t="s">
        <v>79</v>
      </c>
      <c r="P1" s="25"/>
      <c r="Q1" s="6"/>
      <c r="R1" s="7"/>
      <c r="S1" s="7"/>
      <c r="T1" s="7" t="s">
        <v>1</v>
      </c>
      <c r="U1" s="7"/>
      <c r="V1" s="8" t="s">
        <v>158</v>
      </c>
      <c r="W1" s="8"/>
      <c r="X1" s="8"/>
      <c r="Y1" s="9"/>
      <c r="Z1" s="219" t="s">
        <v>0</v>
      </c>
      <c r="AA1" s="25"/>
      <c r="AB1" s="6"/>
      <c r="AC1" s="7"/>
      <c r="AD1" s="7"/>
      <c r="AE1" s="7" t="s">
        <v>1</v>
      </c>
      <c r="AF1" s="7"/>
      <c r="AG1" s="8"/>
      <c r="AH1" s="8"/>
      <c r="AI1" s="8"/>
      <c r="AJ1" s="9"/>
      <c r="AK1" s="24" t="s">
        <v>2</v>
      </c>
      <c r="AL1" s="25"/>
      <c r="AM1" s="6"/>
      <c r="AN1" s="7"/>
      <c r="AO1" s="7"/>
      <c r="AP1" s="7" t="s">
        <v>1</v>
      </c>
      <c r="AQ1" s="7"/>
      <c r="AR1" s="8"/>
      <c r="AS1" s="8"/>
      <c r="AT1" s="8"/>
      <c r="AU1" s="8"/>
      <c r="AV1" s="9"/>
      <c r="AW1" s="24" t="s">
        <v>3</v>
      </c>
      <c r="AX1" s="25"/>
      <c r="AY1" s="6"/>
      <c r="AZ1" s="7"/>
      <c r="BA1" s="7"/>
      <c r="BB1" s="7" t="s">
        <v>1</v>
      </c>
      <c r="BC1" s="7"/>
      <c r="BD1" s="8"/>
      <c r="BE1" s="8"/>
      <c r="BF1" s="8"/>
      <c r="BG1" s="8"/>
      <c r="BH1" s="9"/>
      <c r="BI1" s="24" t="s">
        <v>4</v>
      </c>
      <c r="BJ1" s="25"/>
      <c r="BK1" s="6"/>
      <c r="BL1" s="7"/>
      <c r="BM1" s="7"/>
      <c r="BN1" s="7" t="s">
        <v>1</v>
      </c>
      <c r="BO1" s="7"/>
      <c r="BP1" s="8"/>
      <c r="BQ1" s="8"/>
      <c r="BR1" s="8"/>
      <c r="BS1" s="8"/>
      <c r="BT1" s="9"/>
      <c r="BU1" s="24" t="s">
        <v>5</v>
      </c>
      <c r="BV1" s="25"/>
      <c r="BW1" s="6"/>
      <c r="BX1" s="7"/>
      <c r="BY1" s="7"/>
      <c r="BZ1" s="7" t="s">
        <v>1</v>
      </c>
      <c r="CA1" s="7"/>
      <c r="CB1" s="8"/>
      <c r="CC1" s="8"/>
      <c r="CD1" s="8"/>
      <c r="CE1" s="9"/>
      <c r="CF1" s="9"/>
      <c r="CG1" s="24" t="s">
        <v>6</v>
      </c>
      <c r="CH1" s="25"/>
      <c r="CI1" s="6"/>
      <c r="CJ1" s="7"/>
      <c r="CK1" s="7"/>
      <c r="CL1" s="7" t="s">
        <v>1</v>
      </c>
      <c r="CM1" s="7"/>
      <c r="CN1" s="8"/>
      <c r="CO1" s="8"/>
      <c r="CP1" s="8"/>
      <c r="CQ1" s="9"/>
      <c r="CR1" s="9"/>
      <c r="CS1" s="24" t="s">
        <v>7</v>
      </c>
      <c r="CT1" s="25"/>
      <c r="CU1" s="6"/>
      <c r="CV1" s="7"/>
      <c r="CW1" s="7"/>
      <c r="CX1" s="7" t="s">
        <v>1</v>
      </c>
      <c r="CY1" s="7"/>
      <c r="CZ1" s="8"/>
      <c r="DA1" s="8"/>
      <c r="DB1" s="8"/>
      <c r="DC1" s="9"/>
      <c r="DD1" s="9"/>
      <c r="DE1" s="24" t="s">
        <v>8</v>
      </c>
      <c r="DF1" s="25"/>
      <c r="DG1" s="6"/>
      <c r="DH1" s="7"/>
      <c r="DI1" s="7"/>
      <c r="DJ1" s="7" t="s">
        <v>1</v>
      </c>
      <c r="DK1" s="7"/>
      <c r="DL1" s="8"/>
      <c r="DM1" s="8"/>
      <c r="DN1" s="8"/>
      <c r="DO1" s="9"/>
      <c r="DP1" s="9"/>
      <c r="DQ1" s="24" t="s">
        <v>9</v>
      </c>
      <c r="DR1" s="25"/>
      <c r="DS1" s="6"/>
      <c r="DT1" s="7"/>
      <c r="DU1" s="7"/>
      <c r="DV1" s="7" t="s">
        <v>1</v>
      </c>
      <c r="DW1" s="7"/>
      <c r="DX1" s="8"/>
      <c r="DY1" s="8"/>
      <c r="DZ1" s="8"/>
      <c r="EA1" s="9"/>
      <c r="EB1" s="9"/>
      <c r="EC1" s="24" t="s">
        <v>10</v>
      </c>
      <c r="ED1" s="25"/>
      <c r="EE1" s="6"/>
      <c r="EF1" s="7"/>
      <c r="EG1" s="7"/>
      <c r="EH1" s="7" t="s">
        <v>1</v>
      </c>
      <c r="EI1" s="7"/>
      <c r="EJ1" s="8"/>
      <c r="EK1" s="8"/>
      <c r="EL1" s="8"/>
      <c r="EM1" s="9"/>
      <c r="EN1" s="10"/>
      <c r="EW1" s="242" t="s">
        <v>88</v>
      </c>
      <c r="EX1" s="243"/>
      <c r="EY1" s="244"/>
    </row>
    <row r="2" spans="1:155" ht="16.5" customHeight="1">
      <c r="A2" s="16"/>
      <c r="B2" s="29"/>
      <c r="C2" s="29"/>
      <c r="D2" s="29"/>
      <c r="E2" s="29"/>
      <c r="F2" s="29"/>
      <c r="G2" s="247"/>
      <c r="H2" s="126"/>
      <c r="I2" s="144">
        <f>IF(GM12&lt;&gt;"","Team "&amp;GM12,"")</f>
      </c>
      <c r="J2" s="145">
        <f>GM12</f>
      </c>
      <c r="K2" s="145">
        <f t="shared" si="0"/>
      </c>
      <c r="L2" s="146">
        <f t="shared" si="0"/>
      </c>
      <c r="M2" s="126"/>
      <c r="N2" s="126"/>
      <c r="O2" s="31"/>
      <c r="P2" s="32"/>
      <c r="Q2" s="11"/>
      <c r="R2" s="12"/>
      <c r="S2" s="12"/>
      <c r="T2" s="12" t="s">
        <v>11</v>
      </c>
      <c r="U2" s="12"/>
      <c r="V2" s="13">
        <v>0.4166666666666667</v>
      </c>
      <c r="W2" s="13"/>
      <c r="X2" s="13"/>
      <c r="Y2" s="14"/>
      <c r="Z2" s="220"/>
      <c r="AA2" s="32"/>
      <c r="AB2" s="11"/>
      <c r="AC2" s="12"/>
      <c r="AD2" s="12"/>
      <c r="AE2" s="12" t="s">
        <v>11</v>
      </c>
      <c r="AF2" s="12"/>
      <c r="AG2" s="13"/>
      <c r="AH2" s="13"/>
      <c r="AI2" s="13"/>
      <c r="AJ2" s="14"/>
      <c r="AK2" s="31"/>
      <c r="AL2" s="32"/>
      <c r="AM2" s="11"/>
      <c r="AN2" s="12"/>
      <c r="AO2" s="12"/>
      <c r="AP2" s="12" t="s">
        <v>11</v>
      </c>
      <c r="AQ2" s="12"/>
      <c r="AR2" s="13"/>
      <c r="AS2" s="13"/>
      <c r="AT2" s="13"/>
      <c r="AU2" s="13"/>
      <c r="AV2" s="14"/>
      <c r="AW2" s="31"/>
      <c r="AX2" s="32"/>
      <c r="AY2" s="11"/>
      <c r="AZ2" s="12"/>
      <c r="BA2" s="12"/>
      <c r="BB2" s="12" t="s">
        <v>11</v>
      </c>
      <c r="BC2" s="12"/>
      <c r="BD2" s="13"/>
      <c r="BE2" s="13"/>
      <c r="BF2" s="13"/>
      <c r="BG2" s="13"/>
      <c r="BH2" s="14"/>
      <c r="BI2" s="216"/>
      <c r="BJ2" s="32"/>
      <c r="BK2" s="11"/>
      <c r="BL2" s="12"/>
      <c r="BM2" s="12"/>
      <c r="BN2" s="12" t="s">
        <v>11</v>
      </c>
      <c r="BO2" s="12"/>
      <c r="BP2" s="13"/>
      <c r="BQ2" s="13"/>
      <c r="BR2" s="13"/>
      <c r="BS2" s="13"/>
      <c r="BT2" s="14"/>
      <c r="BU2" s="216"/>
      <c r="BV2" s="32"/>
      <c r="BW2" s="11"/>
      <c r="BX2" s="12"/>
      <c r="BY2" s="12"/>
      <c r="BZ2" s="12" t="s">
        <v>11</v>
      </c>
      <c r="CA2" s="12"/>
      <c r="CB2" s="13"/>
      <c r="CC2" s="13"/>
      <c r="CD2" s="13"/>
      <c r="CE2" s="14"/>
      <c r="CF2" s="14"/>
      <c r="CG2" s="31"/>
      <c r="CH2" s="32"/>
      <c r="CI2" s="11"/>
      <c r="CJ2" s="12"/>
      <c r="CK2" s="12"/>
      <c r="CL2" s="12" t="s">
        <v>11</v>
      </c>
      <c r="CM2" s="12"/>
      <c r="CN2" s="13"/>
      <c r="CO2" s="13"/>
      <c r="CP2" s="13"/>
      <c r="CQ2" s="14"/>
      <c r="CR2" s="14"/>
      <c r="CS2" s="31"/>
      <c r="CT2" s="32"/>
      <c r="CU2" s="11"/>
      <c r="CV2" s="12"/>
      <c r="CW2" s="12"/>
      <c r="CX2" s="12" t="s">
        <v>11</v>
      </c>
      <c r="CY2" s="12"/>
      <c r="CZ2" s="13"/>
      <c r="DA2" s="13"/>
      <c r="DB2" s="13"/>
      <c r="DC2" s="14"/>
      <c r="DD2" s="14"/>
      <c r="DE2" s="31"/>
      <c r="DF2" s="32"/>
      <c r="DG2" s="11"/>
      <c r="DH2" s="12"/>
      <c r="DI2" s="12"/>
      <c r="DJ2" s="12" t="s">
        <v>11</v>
      </c>
      <c r="DK2" s="12"/>
      <c r="DL2" s="13"/>
      <c r="DM2" s="13"/>
      <c r="DN2" s="13"/>
      <c r="DO2" s="14"/>
      <c r="DP2" s="14"/>
      <c r="DQ2" s="31"/>
      <c r="DR2" s="32"/>
      <c r="DS2" s="11"/>
      <c r="DT2" s="12"/>
      <c r="DU2" s="12"/>
      <c r="DV2" s="12" t="s">
        <v>11</v>
      </c>
      <c r="DW2" s="12"/>
      <c r="DX2" s="13"/>
      <c r="DY2" s="13"/>
      <c r="DZ2" s="13"/>
      <c r="EA2" s="14"/>
      <c r="EB2" s="14"/>
      <c r="EC2" s="31"/>
      <c r="ED2" s="32"/>
      <c r="EE2" s="11"/>
      <c r="EF2" s="12"/>
      <c r="EG2" s="12"/>
      <c r="EH2" s="12" t="s">
        <v>11</v>
      </c>
      <c r="EI2" s="12"/>
      <c r="EJ2" s="13"/>
      <c r="EK2" s="13"/>
      <c r="EL2" s="13"/>
      <c r="EM2" s="14"/>
      <c r="EN2" s="3"/>
      <c r="EY2" s="26" t="b">
        <f>($F$8&lt;=$EY$5)</f>
        <v>1</v>
      </c>
    </row>
    <row r="3" spans="1:172" ht="15.75" customHeight="1">
      <c r="A3" s="16"/>
      <c r="B3" s="29"/>
      <c r="C3" s="29"/>
      <c r="D3" s="29"/>
      <c r="E3" s="29"/>
      <c r="F3" s="29"/>
      <c r="G3" s="247"/>
      <c r="H3" s="126"/>
      <c r="I3" s="144">
        <f>IF(GM13&lt;&gt;"","Team "&amp;GM13,"")</f>
      </c>
      <c r="J3" s="145">
        <f>GM13</f>
      </c>
      <c r="K3" s="145">
        <f t="shared" si="0"/>
      </c>
      <c r="L3" s="146">
        <f t="shared" si="0"/>
      </c>
      <c r="M3" s="130"/>
      <c r="N3" s="130"/>
      <c r="O3" s="33"/>
      <c r="P3" s="34"/>
      <c r="Q3" s="11"/>
      <c r="R3" s="35"/>
      <c r="S3" s="35"/>
      <c r="T3" s="36" t="s">
        <v>12</v>
      </c>
      <c r="U3" s="36"/>
      <c r="V3" s="13">
        <v>0.7395833333333334</v>
      </c>
      <c r="W3" s="13"/>
      <c r="X3" s="13"/>
      <c r="Y3" s="14"/>
      <c r="Z3" s="221"/>
      <c r="AA3" s="34"/>
      <c r="AB3" s="15"/>
      <c r="AC3" s="35"/>
      <c r="AD3" s="35"/>
      <c r="AE3" s="36" t="s">
        <v>12</v>
      </c>
      <c r="AF3" s="36"/>
      <c r="AG3" s="13"/>
      <c r="AH3" s="13"/>
      <c r="AI3" s="13"/>
      <c r="AJ3" s="14"/>
      <c r="AK3" s="217" t="s">
        <v>89</v>
      </c>
      <c r="AL3" s="34"/>
      <c r="AM3" s="217"/>
      <c r="AN3" s="35"/>
      <c r="AO3" s="35"/>
      <c r="AP3" s="36" t="s">
        <v>12</v>
      </c>
      <c r="AQ3" s="36"/>
      <c r="AR3" s="13"/>
      <c r="AS3" s="13"/>
      <c r="AT3" s="13"/>
      <c r="AU3" s="13"/>
      <c r="AV3" s="14"/>
      <c r="AW3" s="217" t="s">
        <v>89</v>
      </c>
      <c r="AX3" s="34"/>
      <c r="AY3" s="217"/>
      <c r="AZ3" s="35"/>
      <c r="BA3" s="35"/>
      <c r="BB3" s="36" t="s">
        <v>12</v>
      </c>
      <c r="BC3" s="36"/>
      <c r="BD3" s="13"/>
      <c r="BE3" s="13"/>
      <c r="BF3" s="13"/>
      <c r="BG3" s="13"/>
      <c r="BH3" s="14"/>
      <c r="BI3" s="217" t="s">
        <v>89</v>
      </c>
      <c r="BJ3" s="34"/>
      <c r="BK3" s="217"/>
      <c r="BL3" s="35"/>
      <c r="BM3" s="35"/>
      <c r="BN3" s="36" t="s">
        <v>12</v>
      </c>
      <c r="BO3" s="36"/>
      <c r="BP3" s="13"/>
      <c r="BQ3" s="13"/>
      <c r="BR3" s="13"/>
      <c r="BS3" s="13"/>
      <c r="BT3" s="14"/>
      <c r="BU3" s="217" t="s">
        <v>89</v>
      </c>
      <c r="BV3" s="34"/>
      <c r="BW3" s="217"/>
      <c r="BX3" s="35"/>
      <c r="BY3" s="35"/>
      <c r="BZ3" s="36" t="s">
        <v>12</v>
      </c>
      <c r="CA3" s="36"/>
      <c r="CB3" s="13"/>
      <c r="CC3" s="13"/>
      <c r="CD3" s="13"/>
      <c r="CE3" s="14"/>
      <c r="CF3" s="14"/>
      <c r="CG3" s="217" t="s">
        <v>89</v>
      </c>
      <c r="CH3" s="34"/>
      <c r="CI3" s="217"/>
      <c r="CJ3" s="35"/>
      <c r="CK3" s="35"/>
      <c r="CL3" s="36" t="s">
        <v>12</v>
      </c>
      <c r="CM3" s="36"/>
      <c r="CN3" s="13"/>
      <c r="CO3" s="13"/>
      <c r="CP3" s="13"/>
      <c r="CQ3" s="14"/>
      <c r="CR3" s="14"/>
      <c r="CS3" s="217" t="s">
        <v>89</v>
      </c>
      <c r="CT3" s="34"/>
      <c r="CU3" s="217"/>
      <c r="CV3" s="35"/>
      <c r="CW3" s="35"/>
      <c r="CX3" s="36" t="s">
        <v>12</v>
      </c>
      <c r="CY3" s="36"/>
      <c r="CZ3" s="13"/>
      <c r="DA3" s="13"/>
      <c r="DB3" s="13"/>
      <c r="DC3" s="14"/>
      <c r="DD3" s="14"/>
      <c r="DE3" s="217" t="s">
        <v>89</v>
      </c>
      <c r="DF3" s="34"/>
      <c r="DG3" s="217"/>
      <c r="DH3" s="35"/>
      <c r="DI3" s="35"/>
      <c r="DJ3" s="36" t="s">
        <v>12</v>
      </c>
      <c r="DK3" s="36"/>
      <c r="DL3" s="13"/>
      <c r="DM3" s="13"/>
      <c r="DN3" s="13"/>
      <c r="DO3" s="14"/>
      <c r="DP3" s="14"/>
      <c r="DQ3" s="217" t="s">
        <v>89</v>
      </c>
      <c r="DR3" s="34"/>
      <c r="DS3" s="217"/>
      <c r="DT3" s="35"/>
      <c r="DU3" s="35"/>
      <c r="DV3" s="36" t="s">
        <v>12</v>
      </c>
      <c r="DW3" s="36"/>
      <c r="DX3" s="13"/>
      <c r="DY3" s="13"/>
      <c r="DZ3" s="13"/>
      <c r="EA3" s="14"/>
      <c r="EB3" s="14"/>
      <c r="EC3" s="217" t="s">
        <v>89</v>
      </c>
      <c r="ED3" s="34"/>
      <c r="EE3" s="217"/>
      <c r="EF3" s="35"/>
      <c r="EG3" s="35"/>
      <c r="EH3" s="36" t="s">
        <v>12</v>
      </c>
      <c r="EI3" s="36"/>
      <c r="EJ3" s="13"/>
      <c r="EK3" s="13"/>
      <c r="EL3" s="13"/>
      <c r="EM3" s="14"/>
      <c r="EN3" s="3"/>
      <c r="EW3" s="237" t="s">
        <v>87</v>
      </c>
      <c r="EX3" s="238"/>
      <c r="EY3" s="239"/>
      <c r="EZ3" s="240" t="s">
        <v>86</v>
      </c>
      <c r="FA3" s="241"/>
      <c r="FB3" s="241"/>
      <c r="FC3" s="241"/>
      <c r="FD3" s="241"/>
      <c r="FE3" s="241"/>
      <c r="FF3" s="241"/>
      <c r="FG3" s="241"/>
      <c r="FH3" s="241"/>
      <c r="FI3" s="241"/>
      <c r="FN3" s="26">
        <f>CODE(FO3)</f>
        <v>32</v>
      </c>
      <c r="FO3" s="26" t="s">
        <v>13</v>
      </c>
      <c r="FP3" s="26">
        <f>UPPER(G12)</f>
      </c>
    </row>
    <row r="4" spans="1:194" s="43" customFormat="1" ht="6" customHeight="1">
      <c r="A4" s="16"/>
      <c r="B4" s="29"/>
      <c r="C4" s="29"/>
      <c r="D4" s="29"/>
      <c r="E4" s="29"/>
      <c r="F4" s="29"/>
      <c r="G4" s="247"/>
      <c r="H4" s="126"/>
      <c r="I4" s="127"/>
      <c r="J4" s="128"/>
      <c r="K4" s="126"/>
      <c r="L4" s="126"/>
      <c r="M4" s="126"/>
      <c r="N4" s="126"/>
      <c r="O4" s="39"/>
      <c r="P4" s="40"/>
      <c r="Q4" s="1"/>
      <c r="R4" s="2"/>
      <c r="S4" s="2"/>
      <c r="T4" s="40"/>
      <c r="U4" s="40"/>
      <c r="V4" s="41"/>
      <c r="W4" s="41"/>
      <c r="X4" s="41"/>
      <c r="Y4" s="41"/>
      <c r="Z4" s="222"/>
      <c r="AA4" s="40"/>
      <c r="AB4" s="1"/>
      <c r="AC4" s="2"/>
      <c r="AD4" s="2"/>
      <c r="AE4" s="40"/>
      <c r="AF4" s="40"/>
      <c r="AG4" s="41"/>
      <c r="AH4" s="41"/>
      <c r="AI4" s="41"/>
      <c r="AJ4" s="41"/>
      <c r="AK4" s="39"/>
      <c r="AL4" s="40"/>
      <c r="AM4" s="1"/>
      <c r="AN4" s="2"/>
      <c r="AO4" s="2"/>
      <c r="AP4" s="40"/>
      <c r="AQ4" s="40"/>
      <c r="AR4" s="41"/>
      <c r="AS4" s="41"/>
      <c r="AT4" s="41"/>
      <c r="AU4" s="41"/>
      <c r="AV4" s="41"/>
      <c r="AW4" s="39"/>
      <c r="AX4" s="40"/>
      <c r="AY4" s="1"/>
      <c r="AZ4" s="2"/>
      <c r="BA4" s="2"/>
      <c r="BB4" s="40"/>
      <c r="BC4" s="40"/>
      <c r="BD4" s="123"/>
      <c r="BE4" s="41"/>
      <c r="BF4" s="123"/>
      <c r="BG4" s="123"/>
      <c r="BH4" s="41"/>
      <c r="BI4" s="39"/>
      <c r="BJ4" s="40"/>
      <c r="BK4" s="1"/>
      <c r="BL4" s="2"/>
      <c r="BM4" s="2"/>
      <c r="BN4" s="40"/>
      <c r="BO4" s="40"/>
      <c r="BP4" s="41"/>
      <c r="BQ4" s="41"/>
      <c r="BR4" s="41"/>
      <c r="BS4" s="41"/>
      <c r="BT4" s="41"/>
      <c r="BU4" s="39"/>
      <c r="BV4" s="40"/>
      <c r="BW4" s="1"/>
      <c r="BX4" s="2"/>
      <c r="BY4" s="2"/>
      <c r="BZ4" s="40"/>
      <c r="CA4" s="40"/>
      <c r="CB4" s="41"/>
      <c r="CC4" s="41"/>
      <c r="CD4" s="41"/>
      <c r="CE4" s="41"/>
      <c r="CF4" s="41"/>
      <c r="CG4" s="39"/>
      <c r="CH4" s="40"/>
      <c r="CI4" s="1"/>
      <c r="CJ4" s="2"/>
      <c r="CK4" s="2"/>
      <c r="CL4" s="40"/>
      <c r="CM4" s="40"/>
      <c r="CN4" s="41"/>
      <c r="CO4" s="41"/>
      <c r="CP4" s="41"/>
      <c r="CQ4" s="41"/>
      <c r="CR4" s="41"/>
      <c r="CS4" s="39"/>
      <c r="CT4" s="40"/>
      <c r="CU4" s="1"/>
      <c r="CV4" s="2"/>
      <c r="CW4" s="2"/>
      <c r="CX4" s="40"/>
      <c r="CY4" s="40"/>
      <c r="CZ4" s="41"/>
      <c r="DA4" s="41"/>
      <c r="DB4" s="41"/>
      <c r="DC4" s="41"/>
      <c r="DD4" s="41"/>
      <c r="DE4" s="39"/>
      <c r="DF4" s="40"/>
      <c r="DG4" s="1"/>
      <c r="DH4" s="2"/>
      <c r="DI4" s="2"/>
      <c r="DJ4" s="40"/>
      <c r="DK4" s="40"/>
      <c r="DL4" s="41"/>
      <c r="DM4" s="41"/>
      <c r="DN4" s="41"/>
      <c r="DO4" s="41"/>
      <c r="DP4" s="41"/>
      <c r="DQ4" s="39"/>
      <c r="DR4" s="40"/>
      <c r="DS4" s="1"/>
      <c r="DT4" s="2"/>
      <c r="DU4" s="2"/>
      <c r="DV4" s="40"/>
      <c r="DW4" s="40"/>
      <c r="DX4" s="41"/>
      <c r="DY4" s="41"/>
      <c r="DZ4" s="41"/>
      <c r="EA4" s="41"/>
      <c r="EB4" s="41"/>
      <c r="EC4" s="39"/>
      <c r="ED4" s="40"/>
      <c r="EE4" s="1"/>
      <c r="EF4" s="2"/>
      <c r="EG4" s="2"/>
      <c r="EH4" s="40"/>
      <c r="EI4" s="40"/>
      <c r="EJ4" s="41"/>
      <c r="EK4" s="41"/>
      <c r="EL4" s="41"/>
      <c r="EM4" s="41"/>
      <c r="EN4" s="42"/>
      <c r="GG4" s="44"/>
      <c r="GL4" s="45"/>
    </row>
    <row r="5" spans="1:165" ht="12.75">
      <c r="A5" s="16"/>
      <c r="B5" s="29"/>
      <c r="C5" s="29"/>
      <c r="D5" s="29"/>
      <c r="E5" s="29"/>
      <c r="F5" s="29"/>
      <c r="G5" s="46" t="str">
        <f ca="1">IF(OR(AA5,P5),"Fastest "&amp;MIN(Q5,AB5,AM5,AY5,BK5,BW5,CI5,CU5,DG5,DS5,EE5)&amp;" by "&amp;INDIRECT("r5"&amp;"c"&amp;CELL("col",L5)+7+MATCH(MIN(Q5,AB5,AM5,AY5,BK5,BW5,CI5,CU5,DG5,DS5,EE5),Q5:EE5,0),FALSE),"")</f>
        <v>Fastest 39.98 by Thornton</v>
      </c>
      <c r="H5" s="29"/>
      <c r="I5" s="46"/>
      <c r="J5" s="47"/>
      <c r="K5" s="47"/>
      <c r="L5" s="47"/>
      <c r="M5" s="47"/>
      <c r="N5" s="47"/>
      <c r="O5" s="48">
        <f>IF(P5,"Fastest","")</f>
      </c>
      <c r="P5" s="47">
        <f>IF(SUM(O11:O62),1,0)</f>
        <v>0</v>
      </c>
      <c r="Q5" s="147">
        <f>IF(P5,MIN(P11:P62),"")</f>
      </c>
      <c r="R5" s="49">
        <f>IF(P5,MATCH(Q5,O11:O62,0),"")</f>
      </c>
      <c r="S5" s="49"/>
      <c r="T5" s="47">
        <f>IF(P5,VLOOKUP(MATCH(Q5,O11:O62,0),Competitors,3,FALSE),"")</f>
      </c>
      <c r="U5" s="47"/>
      <c r="V5" s="47"/>
      <c r="W5" s="47"/>
      <c r="X5" s="46">
        <f>IF(P5,VLOOKUP(MATCH(Q5,O11:O62,0),Competitors,6,FALSE),"")</f>
      </c>
      <c r="Y5" s="47"/>
      <c r="Z5" s="223" t="str">
        <f>IF(AA5,"Fastest","")</f>
        <v>Fastest</v>
      </c>
      <c r="AA5" s="47">
        <f>IF(SUM(Z11:Z62),1,0)</f>
        <v>1</v>
      </c>
      <c r="AB5" s="147">
        <f>IF(AA5,MIN(AA11:AA62),"")</f>
        <v>54.7</v>
      </c>
      <c r="AC5" s="49">
        <f>IF(AA5,MATCH(AB5,Z11:Z62,0),"")</f>
        <v>13</v>
      </c>
      <c r="AD5" s="49"/>
      <c r="AE5" s="47" t="str">
        <f>IF(AA5,VLOOKUP(MATCH(AB5,Z11:Z62,0),Competitors,3,FALSE),"")</f>
        <v>Abbotts</v>
      </c>
      <c r="AF5" s="47"/>
      <c r="AG5" s="47"/>
      <c r="AH5" s="47"/>
      <c r="AI5" s="46">
        <f>IF(AA5,VLOOKUP(MATCH(AB5,Z11:Z62,0),Competitors,6,FALSE),"")</f>
        <v>0</v>
      </c>
      <c r="AJ5" s="47"/>
      <c r="AK5" s="48" t="str">
        <f>IF(AL5,"Fastest","")</f>
        <v>Fastest</v>
      </c>
      <c r="AL5" s="47">
        <f>IF(SUM(AK11:AK62),1,0)</f>
        <v>1</v>
      </c>
      <c r="AM5" s="147">
        <f>IF(AL5,MIN(AL11:AL62),"")</f>
        <v>52.13</v>
      </c>
      <c r="AN5" s="49">
        <f>IF(AL5,MATCH(AM5,AK11:AK62,0),"")</f>
        <v>18</v>
      </c>
      <c r="AO5" s="49"/>
      <c r="AP5" s="47" t="str">
        <f>IF(AL5,VLOOKUP(MATCH(AM5,AK11:AK62,0),Competitors,3,FALSE),"")</f>
        <v>Thornton</v>
      </c>
      <c r="AQ5" s="47"/>
      <c r="AR5" s="47"/>
      <c r="AS5" s="47"/>
      <c r="AT5" s="47"/>
      <c r="AU5" s="46">
        <f>IF(AL5,VLOOKUP(MATCH(AM5,AK11:AK62,0),Competitors,6,FALSE),"")</f>
        <v>0</v>
      </c>
      <c r="AV5" s="47"/>
      <c r="AW5" s="48" t="str">
        <f>IF(AX5,"Fastest","")</f>
        <v>Fastest</v>
      </c>
      <c r="AX5" s="47">
        <f>IF(SUM(AW11:AW62),1,0)</f>
        <v>1</v>
      </c>
      <c r="AY5" s="147">
        <f>IF(AX5,MIN(AX11:AX62),"")</f>
        <v>47.16</v>
      </c>
      <c r="AZ5" s="49">
        <f>IF(AX5,MATCH(AY5,AW11:AW62,0),"")</f>
        <v>24</v>
      </c>
      <c r="BA5" s="49"/>
      <c r="BB5" s="47" t="str">
        <f>IF(AX5,VLOOKUP(MATCH(AY5,AW11:AW62,0),Competitors,3,FALSE),"")</f>
        <v>Eldridge</v>
      </c>
      <c r="BC5" s="47"/>
      <c r="BD5" s="47"/>
      <c r="BE5" s="47"/>
      <c r="BF5" s="47"/>
      <c r="BG5" s="46">
        <f>IF(AX5,VLOOKUP(MATCH(AY5,AW11:AW62,0),Competitors,6,FALSE),"")</f>
        <v>0</v>
      </c>
      <c r="BH5" s="47"/>
      <c r="BI5" s="48" t="str">
        <f>IF(BJ5,"Fastest","")</f>
        <v>Fastest</v>
      </c>
      <c r="BJ5" s="47">
        <f>IF(SUM(BI11:BI62),1,0)</f>
        <v>1</v>
      </c>
      <c r="BK5" s="147">
        <f>IF(BJ5,MIN(BJ11:BJ62),"")</f>
        <v>49.09</v>
      </c>
      <c r="BL5" s="49">
        <f>IF(BJ5,MATCH(BK5,BI11:BI62,0),"")</f>
        <v>18</v>
      </c>
      <c r="BM5" s="49"/>
      <c r="BN5" s="47" t="str">
        <f>IF(BJ5,VLOOKUP(MATCH(BK5,BI11:BI62,0),Competitors,3,FALSE),"")</f>
        <v>Thornton</v>
      </c>
      <c r="BO5" s="47"/>
      <c r="BP5" s="47"/>
      <c r="BQ5" s="47"/>
      <c r="BR5" s="47"/>
      <c r="BS5" s="46">
        <f>IF(BJ5,VLOOKUP(MATCH(BK5,BI11:BI62,0),Competitors,6,FALSE),"")</f>
        <v>0</v>
      </c>
      <c r="BT5" s="47"/>
      <c r="BU5" s="48" t="str">
        <f>IF(BV5,"Fastest","")</f>
        <v>Fastest</v>
      </c>
      <c r="BV5" s="47">
        <f>IF(SUM(BU11:BU62),1,0)</f>
        <v>1</v>
      </c>
      <c r="BW5" s="147">
        <f>IF(BV5,MIN(BV11:BV62),"")</f>
        <v>45.73</v>
      </c>
      <c r="BX5" s="49">
        <f>IF(BV5,MATCH(BW5,BU11:BU62,0),"")</f>
        <v>18</v>
      </c>
      <c r="BY5" s="49"/>
      <c r="BZ5" s="47" t="str">
        <f>IF(BV5,VLOOKUP(MATCH(BW5,BU11:BU62,0),Competitors,3,FALSE),"")</f>
        <v>Thornton</v>
      </c>
      <c r="CA5" s="47"/>
      <c r="CB5" s="47"/>
      <c r="CC5" s="47"/>
      <c r="CD5" s="47"/>
      <c r="CE5" s="46">
        <f>IF(BV5,VLOOKUP(MATCH(BW5,BV11:BV62,0),Competitors,6,FALSE),"")</f>
        <v>0</v>
      </c>
      <c r="CF5" s="47"/>
      <c r="CG5" s="48" t="str">
        <f>IF(CH5,"Fastest","")</f>
        <v>Fastest</v>
      </c>
      <c r="CH5" s="47">
        <f>IF(SUM(CG11:CG62),1,0)</f>
        <v>1</v>
      </c>
      <c r="CI5" s="147">
        <f>IF(CH5,MIN(CH11:CH62),"")</f>
        <v>49.35</v>
      </c>
      <c r="CJ5" s="49">
        <f>IF(CH5,MATCH(CI5,CG11:CG62,0),"")</f>
        <v>9</v>
      </c>
      <c r="CK5" s="49"/>
      <c r="CL5" s="47" t="str">
        <f>IF(CH5,VLOOKUP(MATCH(CI5,CG11:CG62,0),Competitors,3,FALSE),"")</f>
        <v>Evans</v>
      </c>
      <c r="CM5" s="47"/>
      <c r="CN5" s="47"/>
      <c r="CO5" s="47"/>
      <c r="CP5" s="47"/>
      <c r="CQ5" s="46">
        <f>IF(CH5,VLOOKUP(MATCH(CI5,CH11:CH62,0),Competitors,6,FALSE),"")</f>
        <v>0</v>
      </c>
      <c r="CR5" s="47"/>
      <c r="CS5" s="48" t="str">
        <f>IF(CT5,"Fastest","")</f>
        <v>Fastest</v>
      </c>
      <c r="CT5" s="47">
        <f>IF(SUM(CS11:CS62),1,0)</f>
        <v>1</v>
      </c>
      <c r="CU5" s="147">
        <f>IF(CT5,MIN(CT11:CT62),"")</f>
        <v>39.98</v>
      </c>
      <c r="CV5" s="49">
        <f>IF(CT5,MATCH(CU5,CS11:CS62,0),"")</f>
        <v>18</v>
      </c>
      <c r="CW5" s="49"/>
      <c r="CX5" s="47" t="str">
        <f>IF(CT5,VLOOKUP(MATCH(CU5,CS11:CS62,0),Competitors,3,FALSE),"")</f>
        <v>Thornton</v>
      </c>
      <c r="CY5" s="47"/>
      <c r="CZ5" s="47"/>
      <c r="DA5" s="47"/>
      <c r="DB5" s="47"/>
      <c r="DC5" s="46">
        <f>IF(CT5,VLOOKUP(MATCH(CU5,CT11:CT62,0),Competitors,6,FALSE),"")</f>
        <v>0</v>
      </c>
      <c r="DD5" s="47"/>
      <c r="DE5" s="48" t="str">
        <f>IF(DF5,"Fastest","")</f>
        <v>Fastest</v>
      </c>
      <c r="DF5" s="47">
        <f>IF(SUM(DE11:DE62),1,0)</f>
        <v>1</v>
      </c>
      <c r="DG5" s="147">
        <f>IF(DF5,MIN(DF11:DF62),"")</f>
        <v>43.15</v>
      </c>
      <c r="DH5" s="49">
        <f>IF(DF5,MATCH(DG5,DE11:DE62,0),"")</f>
        <v>7</v>
      </c>
      <c r="DI5" s="49"/>
      <c r="DJ5" s="47" t="str">
        <f>IF(DF5,VLOOKUP(MATCH(DG5,DE11:DE62,0),Competitors,3,FALSE),"")</f>
        <v>West</v>
      </c>
      <c r="DK5" s="47"/>
      <c r="DL5" s="47"/>
      <c r="DM5" s="47"/>
      <c r="DN5" s="47"/>
      <c r="DO5" s="46">
        <f>IF(DF5,VLOOKUP(MATCH(DG5,DF11:DF62,0),Competitors,6,FALSE),"")</f>
        <v>0</v>
      </c>
      <c r="DP5" s="47"/>
      <c r="DQ5" s="48" t="str">
        <f>IF(DR5,"Fastest","")</f>
        <v>Fastest</v>
      </c>
      <c r="DR5" s="47">
        <f>IF(SUM(DQ11:DQ62),1,0)</f>
        <v>1</v>
      </c>
      <c r="DS5" s="147">
        <f>IF(DR5,MIN(DR11:DR62),"")</f>
        <v>43.56</v>
      </c>
      <c r="DT5" s="49">
        <f>IF(DR5,MATCH(DS5,DQ11:DQ62,0),"")</f>
        <v>14</v>
      </c>
      <c r="DU5" s="49"/>
      <c r="DV5" s="47" t="str">
        <f>IF(DR5,VLOOKUP(MATCH(DS5,DQ11:DQ62,0),Competitors,3,FALSE),"")</f>
        <v>Bennett</v>
      </c>
      <c r="DW5" s="47"/>
      <c r="DX5" s="47"/>
      <c r="DY5" s="47"/>
      <c r="DZ5" s="47"/>
      <c r="EA5" s="46">
        <f>IF(DR5,VLOOKUP(MATCH(DS5,DR11:DR62,0),Competitors,6,FALSE),"")</f>
        <v>0</v>
      </c>
      <c r="EB5" s="47"/>
      <c r="EC5" s="48">
        <f>IF(ED5,"Fastest","")</f>
      </c>
      <c r="ED5" s="47">
        <f>IF(SUM(EC11:EC62),1,0)</f>
        <v>0</v>
      </c>
      <c r="EE5" s="147">
        <f>IF(ED5,MIN(ED11:ED62),"")</f>
      </c>
      <c r="EF5" s="49">
        <f>IF(ED5,MATCH(EE5,EC11:EC62,0),"")</f>
      </c>
      <c r="EG5" s="49"/>
      <c r="EH5" s="47">
        <f>IF(ED5,VLOOKUP(MATCH(EE5,EC11:EC62,0),Competitors,3,FALSE),"")</f>
      </c>
      <c r="EI5" s="47"/>
      <c r="EJ5" s="47"/>
      <c r="EK5" s="47"/>
      <c r="EL5" s="47"/>
      <c r="EM5" s="46">
        <f>IF(ED5,VLOOKUP(MATCH(EE5,ED11:ED62,0),Competitors,6,FALSE),"")</f>
      </c>
      <c r="EN5" s="50"/>
      <c r="EY5" s="26">
        <f>SUM(EZ5:FI5)</f>
        <v>9</v>
      </c>
      <c r="EZ5" s="26">
        <f>IF(SUM(EZ11:EZ61)&lt;&gt;0,1,0)</f>
        <v>1</v>
      </c>
      <c r="FA5" s="26">
        <f>IF(SUM(FA11:FA61)&lt;&gt;0,1,0)</f>
        <v>1</v>
      </c>
      <c r="FB5" s="26">
        <f>IF(SUM(FB11:FB61)&lt;&gt;0,1,0)</f>
        <v>1</v>
      </c>
      <c r="FC5" s="26">
        <f>IF(SUM(FC11:FC61)&lt;&gt;0,1,0)</f>
        <v>1</v>
      </c>
      <c r="FD5" s="26">
        <f>IF(SUM(FD11:FD61)&lt;&gt;0,1,0)</f>
        <v>1</v>
      </c>
      <c r="FE5" s="26">
        <f>IF(SUM(FE11:FE61)&lt;&gt;0,1,0)</f>
        <v>1</v>
      </c>
      <c r="FF5" s="26">
        <f>IF(SUM(FF11:FF61)&lt;&gt;0,1,0)</f>
        <v>1</v>
      </c>
      <c r="FG5" s="26">
        <f>IF(SUM(FG11:FG61)&lt;&gt;0,1,0)</f>
        <v>1</v>
      </c>
      <c r="FH5" s="26">
        <f>IF(SUM(FH11:FH61)&lt;&gt;0,1,0)</f>
        <v>1</v>
      </c>
      <c r="FI5" s="26">
        <f>IF(SUM(FI11:FI61)&lt;&gt;0,1,0)</f>
        <v>0</v>
      </c>
    </row>
    <row r="6" spans="1:194" s="53" customFormat="1" ht="6.75" customHeight="1" thickBot="1">
      <c r="A6" s="16"/>
      <c r="B6" s="29"/>
      <c r="C6" s="29"/>
      <c r="D6" s="29"/>
      <c r="E6" s="29"/>
      <c r="F6" s="29"/>
      <c r="G6" s="29"/>
      <c r="H6" s="29"/>
      <c r="I6" s="38"/>
      <c r="J6" s="29"/>
      <c r="K6" s="29"/>
      <c r="L6" s="29"/>
      <c r="M6" s="29"/>
      <c r="N6" s="29"/>
      <c r="O6" s="16"/>
      <c r="P6" s="29"/>
      <c r="Q6" s="51"/>
      <c r="R6" s="37"/>
      <c r="S6" s="37"/>
      <c r="T6" s="29"/>
      <c r="U6" s="29"/>
      <c r="V6" s="29"/>
      <c r="W6" s="29"/>
      <c r="X6" s="38"/>
      <c r="Y6" s="29"/>
      <c r="Z6" s="224"/>
      <c r="AA6" s="29"/>
      <c r="AB6" s="51"/>
      <c r="AC6" s="37"/>
      <c r="AD6" s="37"/>
      <c r="AE6" s="29"/>
      <c r="AF6" s="29"/>
      <c r="AG6" s="29"/>
      <c r="AH6" s="29"/>
      <c r="AI6" s="38"/>
      <c r="AJ6" s="29"/>
      <c r="AK6" s="16"/>
      <c r="AL6" s="29"/>
      <c r="AM6" s="51"/>
      <c r="AN6" s="37"/>
      <c r="AO6" s="37"/>
      <c r="AP6" s="29"/>
      <c r="AQ6" s="29"/>
      <c r="AR6" s="29"/>
      <c r="AS6" s="29"/>
      <c r="AT6" s="29"/>
      <c r="AU6" s="38"/>
      <c r="AV6" s="29"/>
      <c r="AW6" s="16"/>
      <c r="AX6" s="29"/>
      <c r="AY6" s="51"/>
      <c r="AZ6" s="37"/>
      <c r="BA6" s="37"/>
      <c r="BB6" s="29"/>
      <c r="BC6" s="29"/>
      <c r="BD6" s="29"/>
      <c r="BE6" s="29"/>
      <c r="BF6" s="29"/>
      <c r="BG6" s="38"/>
      <c r="BH6" s="29"/>
      <c r="BI6" s="16"/>
      <c r="BJ6" s="29"/>
      <c r="BK6" s="51"/>
      <c r="BL6" s="37"/>
      <c r="BM6" s="37"/>
      <c r="BN6" s="29"/>
      <c r="BO6" s="29"/>
      <c r="BP6" s="29"/>
      <c r="BQ6" s="29"/>
      <c r="BR6" s="29"/>
      <c r="BS6" s="38"/>
      <c r="BT6" s="29"/>
      <c r="BU6" s="16"/>
      <c r="BV6" s="29"/>
      <c r="BW6" s="51"/>
      <c r="BX6" s="37"/>
      <c r="BY6" s="37"/>
      <c r="BZ6" s="29"/>
      <c r="CA6" s="29"/>
      <c r="CB6" s="29"/>
      <c r="CC6" s="29"/>
      <c r="CD6" s="29"/>
      <c r="CE6" s="38"/>
      <c r="CF6" s="29"/>
      <c r="CG6" s="16"/>
      <c r="CH6" s="29"/>
      <c r="CI6" s="51"/>
      <c r="CJ6" s="37"/>
      <c r="CK6" s="37"/>
      <c r="CL6" s="29"/>
      <c r="CM6" s="29"/>
      <c r="CN6" s="29"/>
      <c r="CO6" s="29"/>
      <c r="CP6" s="29"/>
      <c r="CQ6" s="38"/>
      <c r="CR6" s="29"/>
      <c r="CS6" s="16"/>
      <c r="CT6" s="29"/>
      <c r="CU6" s="51"/>
      <c r="CV6" s="37"/>
      <c r="CW6" s="37"/>
      <c r="CX6" s="29"/>
      <c r="CY6" s="29"/>
      <c r="CZ6" s="29"/>
      <c r="DA6" s="29"/>
      <c r="DB6" s="29"/>
      <c r="DC6" s="38"/>
      <c r="DD6" s="29"/>
      <c r="DE6" s="16"/>
      <c r="DF6" s="29"/>
      <c r="DG6" s="51"/>
      <c r="DH6" s="37"/>
      <c r="DI6" s="37"/>
      <c r="DJ6" s="29"/>
      <c r="DK6" s="29"/>
      <c r="DL6" s="29"/>
      <c r="DM6" s="29"/>
      <c r="DN6" s="29"/>
      <c r="DO6" s="38"/>
      <c r="DP6" s="29"/>
      <c r="DQ6" s="16"/>
      <c r="DR6" s="29"/>
      <c r="DS6" s="51"/>
      <c r="DT6" s="37"/>
      <c r="DU6" s="37"/>
      <c r="DV6" s="29"/>
      <c r="DW6" s="29"/>
      <c r="DX6" s="29"/>
      <c r="DY6" s="29"/>
      <c r="DZ6" s="29"/>
      <c r="EA6" s="38"/>
      <c r="EB6" s="29"/>
      <c r="EC6" s="16"/>
      <c r="ED6" s="29"/>
      <c r="EE6" s="51"/>
      <c r="EF6" s="37"/>
      <c r="EG6" s="37"/>
      <c r="EH6" s="29"/>
      <c r="EI6" s="29"/>
      <c r="EJ6" s="29"/>
      <c r="EK6" s="29"/>
      <c r="EL6" s="29"/>
      <c r="EM6" s="38"/>
      <c r="EN6" s="52"/>
      <c r="GG6" s="54"/>
      <c r="GL6" s="55"/>
    </row>
    <row r="7" spans="1:180" ht="13.5" hidden="1" thickBot="1">
      <c r="A7" s="16"/>
      <c r="B7" s="29"/>
      <c r="C7" s="29"/>
      <c r="D7" s="29"/>
      <c r="E7" s="29"/>
      <c r="F7" s="29"/>
      <c r="G7" s="29"/>
      <c r="H7" s="29"/>
      <c r="I7" s="29"/>
      <c r="J7" s="29" t="str">
        <f ca="1">"r"&amp;$AA$7&amp;"c"&amp;CELL("col",J7)</f>
        <v>r36c10</v>
      </c>
      <c r="K7" s="29"/>
      <c r="L7" s="29"/>
      <c r="M7" s="29" t="str">
        <f ca="1">"r"&amp;$AA$7&amp;"c"&amp;CELL("col",M7)</f>
        <v>r36c13</v>
      </c>
      <c r="N7" s="29"/>
      <c r="O7" s="16"/>
      <c r="P7" s="29" t="e">
        <f ca="1">CELL("row",#REF!)+MATCH(0,EE11:EE62,0)-2</f>
        <v>#REF!</v>
      </c>
      <c r="Q7" s="51"/>
      <c r="R7" s="37"/>
      <c r="S7" s="29" t="str">
        <f ca="1">"r"&amp;$AA$7&amp;"c"&amp;CELL("col",S7)</f>
        <v>r36c19</v>
      </c>
      <c r="T7" s="29"/>
      <c r="U7" s="29"/>
      <c r="V7" s="29"/>
      <c r="W7" s="29" t="str">
        <f ca="1">"r"&amp;$AA$7&amp;"c"&amp;CELL("col",W7)</f>
        <v>r36c23</v>
      </c>
      <c r="X7" s="29"/>
      <c r="Y7" s="29"/>
      <c r="Z7" s="224"/>
      <c r="AA7" s="29">
        <f ca="1">CELL("row",A11)+MATCH(0,EP11:EP62,0)-2</f>
        <v>36</v>
      </c>
      <c r="AB7" s="51"/>
      <c r="AC7" s="37"/>
      <c r="AD7" s="29" t="str">
        <f ca="1">"r"&amp;$AA$7&amp;"c"&amp;CELL("col",AD7)</f>
        <v>r36c30</v>
      </c>
      <c r="AE7" s="29"/>
      <c r="AF7" s="29"/>
      <c r="AG7" s="29"/>
      <c r="AH7" s="29" t="str">
        <f ca="1">"r"&amp;$AA$7&amp;"c"&amp;CELL("col",AH7)</f>
        <v>r36c34</v>
      </c>
      <c r="AI7" s="29"/>
      <c r="AJ7" s="29"/>
      <c r="AK7" s="16"/>
      <c r="AL7" s="29"/>
      <c r="AM7" s="51"/>
      <c r="AN7" s="37"/>
      <c r="AO7" s="29" t="str">
        <f ca="1">"r"&amp;$AA$7&amp;"c"&amp;CELL("col",AO7)</f>
        <v>r36c41</v>
      </c>
      <c r="AP7" s="29"/>
      <c r="AQ7" s="29"/>
      <c r="AR7" s="29"/>
      <c r="AS7" s="29"/>
      <c r="AT7" s="29" t="str">
        <f ca="1">"r"&amp;$AA$7&amp;"c"&amp;CELL("col",AT7)</f>
        <v>r36c46</v>
      </c>
      <c r="AU7" s="29"/>
      <c r="AV7" s="29"/>
      <c r="AW7" s="16"/>
      <c r="AX7" s="29"/>
      <c r="AY7" s="51"/>
      <c r="AZ7" s="37"/>
      <c r="BA7" s="29" t="str">
        <f ca="1">"r"&amp;$AA$7&amp;"c"&amp;CELL("col",BA7)</f>
        <v>r36c53</v>
      </c>
      <c r="BB7" s="29"/>
      <c r="BC7" s="29"/>
      <c r="BD7" s="29"/>
      <c r="BE7" s="29"/>
      <c r="BF7" s="29" t="str">
        <f ca="1">"r"&amp;$AA$7&amp;"c"&amp;CELL("col",BF7)</f>
        <v>r36c58</v>
      </c>
      <c r="BG7" s="29"/>
      <c r="BH7" s="29"/>
      <c r="BI7" s="16"/>
      <c r="BJ7" s="29"/>
      <c r="BK7" s="51"/>
      <c r="BL7" s="37"/>
      <c r="BM7" s="29" t="str">
        <f ca="1">"r"&amp;$AA$7&amp;"c"&amp;CELL("col",BM7)</f>
        <v>r36c65</v>
      </c>
      <c r="BN7" s="29"/>
      <c r="BO7" s="29"/>
      <c r="BP7" s="29"/>
      <c r="BQ7" s="29"/>
      <c r="BR7" s="29" t="str">
        <f ca="1">"r"&amp;$AA$7&amp;"c"&amp;CELL("col",BR7)</f>
        <v>r36c70</v>
      </c>
      <c r="BS7" s="29"/>
      <c r="BT7" s="29"/>
      <c r="BU7" s="16"/>
      <c r="BV7" s="29"/>
      <c r="BW7" s="51"/>
      <c r="BX7" s="37"/>
      <c r="BY7" s="29" t="str">
        <f ca="1">"r"&amp;$AA$7&amp;"c"&amp;CELL("col",BY7)</f>
        <v>r36c77</v>
      </c>
      <c r="BZ7" s="29"/>
      <c r="CA7" s="29"/>
      <c r="CB7" s="29"/>
      <c r="CC7" s="29"/>
      <c r="CD7" s="29" t="str">
        <f ca="1">"r"&amp;$AA$7&amp;"c"&amp;CELL("col",CD7)</f>
        <v>r36c82</v>
      </c>
      <c r="CE7" s="29"/>
      <c r="CF7" s="29"/>
      <c r="CG7" s="16"/>
      <c r="CH7" s="29"/>
      <c r="CI7" s="51"/>
      <c r="CJ7" s="37"/>
      <c r="CK7" s="29" t="str">
        <f ca="1">"r"&amp;$AA$7&amp;"c"&amp;CELL("col",CK7)</f>
        <v>r36c89</v>
      </c>
      <c r="CL7" s="29"/>
      <c r="CM7" s="29"/>
      <c r="CN7" s="29"/>
      <c r="CO7" s="29"/>
      <c r="CP7" s="29" t="str">
        <f ca="1">"r"&amp;$AA$7&amp;"c"&amp;CELL("col",CP7)</f>
        <v>r36c94</v>
      </c>
      <c r="CQ7" s="29"/>
      <c r="CR7" s="29"/>
      <c r="CS7" s="16"/>
      <c r="CT7" s="29"/>
      <c r="CU7" s="51"/>
      <c r="CV7" s="37"/>
      <c r="CW7" s="29" t="str">
        <f ca="1">"r"&amp;$AA$7&amp;"c"&amp;CELL("col",CW7)</f>
        <v>r36c101</v>
      </c>
      <c r="CX7" s="29"/>
      <c r="CY7" s="29"/>
      <c r="CZ7" s="29"/>
      <c r="DA7" s="29"/>
      <c r="DB7" s="29" t="str">
        <f ca="1">"r"&amp;$AA$7&amp;"c"&amp;CELL("col",DB7)</f>
        <v>r36c106</v>
      </c>
      <c r="DC7" s="29"/>
      <c r="DD7" s="29"/>
      <c r="DE7" s="16"/>
      <c r="DF7" s="29"/>
      <c r="DG7" s="51"/>
      <c r="DH7" s="37"/>
      <c r="DI7" s="29" t="str">
        <f ca="1">"r"&amp;$AA$7&amp;"c"&amp;CELL("col",DI7)</f>
        <v>r36c113</v>
      </c>
      <c r="DJ7" s="29"/>
      <c r="DK7" s="29"/>
      <c r="DL7" s="29"/>
      <c r="DM7" s="29"/>
      <c r="DN7" s="29" t="str">
        <f ca="1">"r"&amp;$AA$7&amp;"c"&amp;CELL("col",DN7)</f>
        <v>r36c118</v>
      </c>
      <c r="DO7" s="29"/>
      <c r="DP7" s="29"/>
      <c r="DQ7" s="16"/>
      <c r="DR7" s="29"/>
      <c r="DS7" s="51"/>
      <c r="DT7" s="37"/>
      <c r="DU7" s="29" t="str">
        <f ca="1">"r"&amp;$AA$7&amp;"c"&amp;CELL("col",DU7)</f>
        <v>r36c125</v>
      </c>
      <c r="DV7" s="29"/>
      <c r="DW7" s="29"/>
      <c r="DX7" s="29"/>
      <c r="DY7" s="29"/>
      <c r="DZ7" s="29" t="str">
        <f ca="1">"r"&amp;$AA$7&amp;"c"&amp;CELL("col",DZ7)</f>
        <v>r36c130</v>
      </c>
      <c r="EA7" s="29"/>
      <c r="EB7" s="29"/>
      <c r="EC7" s="16"/>
      <c r="ED7" s="29"/>
      <c r="EE7" s="51"/>
      <c r="EF7" s="37"/>
      <c r="EG7" s="29" t="str">
        <f ca="1">"r"&amp;$AA$7&amp;"c"&amp;CELL("col",EG7)</f>
        <v>r36c137</v>
      </c>
      <c r="EH7" s="29"/>
      <c r="EI7" s="29"/>
      <c r="EJ7" s="29"/>
      <c r="EK7" s="29"/>
      <c r="EL7" s="29" t="str">
        <f ca="1">"r"&amp;$AA$7&amp;"c"&amp;CELL("col",EL7)</f>
        <v>r36c142</v>
      </c>
      <c r="EM7" s="29"/>
      <c r="EN7" s="52"/>
      <c r="FO7" s="26" t="str">
        <f ca="1">"r"&amp;$AA$7&amp;"c"&amp;CELL("col",FO7)</f>
        <v>r36c171</v>
      </c>
      <c r="FV7" s="26" t="str">
        <f ca="1">"r"&amp;$AA$7&amp;"c"&amp;CELL("col",FV7)</f>
        <v>r36c178</v>
      </c>
      <c r="FX7" s="26" t="str">
        <f ca="1">"r"&amp;$AA$7&amp;"c"&amp;CELL("col",FX7)</f>
        <v>r36c180</v>
      </c>
    </row>
    <row r="8" spans="1:188" ht="17.25" customHeight="1">
      <c r="A8" s="214"/>
      <c r="B8" s="215" t="s">
        <v>83</v>
      </c>
      <c r="C8" s="218"/>
      <c r="D8" s="215"/>
      <c r="E8" s="215"/>
      <c r="F8" s="230">
        <v>5</v>
      </c>
      <c r="G8" s="231"/>
      <c r="H8" s="29"/>
      <c r="I8" s="57" t="s">
        <v>14</v>
      </c>
      <c r="J8" s="58"/>
      <c r="K8" s="59"/>
      <c r="L8" s="60" t="s">
        <v>15</v>
      </c>
      <c r="M8" s="61"/>
      <c r="N8" s="131"/>
      <c r="O8" s="62" t="s">
        <v>82</v>
      </c>
      <c r="P8" s="63"/>
      <c r="Q8" s="64"/>
      <c r="R8" s="65"/>
      <c r="S8" s="65"/>
      <c r="T8" s="63"/>
      <c r="U8" s="63"/>
      <c r="V8" s="66"/>
      <c r="W8" s="67"/>
      <c r="X8" s="68"/>
      <c r="Y8" s="63"/>
      <c r="Z8" s="225" t="s">
        <v>16</v>
      </c>
      <c r="AA8" s="63"/>
      <c r="AB8" s="64"/>
      <c r="AC8" s="65"/>
      <c r="AD8" s="65"/>
      <c r="AE8" s="63"/>
      <c r="AF8" s="63"/>
      <c r="AG8" s="66" t="s">
        <v>17</v>
      </c>
      <c r="AH8" s="67"/>
      <c r="AI8" s="68"/>
      <c r="AJ8" s="63"/>
      <c r="AK8" s="62" t="s">
        <v>18</v>
      </c>
      <c r="AL8" s="63"/>
      <c r="AM8" s="64"/>
      <c r="AN8" s="65"/>
      <c r="AO8" s="65"/>
      <c r="AP8" s="63"/>
      <c r="AQ8" s="63"/>
      <c r="AR8" s="66" t="s">
        <v>17</v>
      </c>
      <c r="AS8" s="67"/>
      <c r="AT8" s="67"/>
      <c r="AU8" s="68"/>
      <c r="AV8" s="63"/>
      <c r="AW8" s="62" t="s">
        <v>19</v>
      </c>
      <c r="AX8" s="63"/>
      <c r="AY8" s="64"/>
      <c r="AZ8" s="65"/>
      <c r="BA8" s="65"/>
      <c r="BB8" s="63"/>
      <c r="BC8" s="63"/>
      <c r="BD8" s="66" t="s">
        <v>17</v>
      </c>
      <c r="BE8" s="67"/>
      <c r="BF8" s="67"/>
      <c r="BG8" s="68"/>
      <c r="BH8" s="63"/>
      <c r="BI8" s="62" t="s">
        <v>20</v>
      </c>
      <c r="BJ8" s="63"/>
      <c r="BK8" s="64"/>
      <c r="BL8" s="65"/>
      <c r="BM8" s="65"/>
      <c r="BN8" s="63"/>
      <c r="BO8" s="63"/>
      <c r="BP8" s="66" t="s">
        <v>17</v>
      </c>
      <c r="BQ8" s="67"/>
      <c r="BR8" s="67"/>
      <c r="BS8" s="68"/>
      <c r="BT8" s="63"/>
      <c r="BU8" s="62" t="s">
        <v>21</v>
      </c>
      <c r="BV8" s="63"/>
      <c r="BW8" s="64"/>
      <c r="BX8" s="65"/>
      <c r="BY8" s="65"/>
      <c r="BZ8" s="63"/>
      <c r="CA8" s="63"/>
      <c r="CB8" s="66" t="s">
        <v>17</v>
      </c>
      <c r="CC8" s="67"/>
      <c r="CD8" s="67"/>
      <c r="CE8" s="68"/>
      <c r="CF8" s="63"/>
      <c r="CG8" s="62" t="s">
        <v>22</v>
      </c>
      <c r="CH8" s="63"/>
      <c r="CI8" s="64"/>
      <c r="CJ8" s="65"/>
      <c r="CK8" s="65"/>
      <c r="CL8" s="63"/>
      <c r="CM8" s="63"/>
      <c r="CN8" s="66" t="s">
        <v>17</v>
      </c>
      <c r="CO8" s="67"/>
      <c r="CP8" s="67"/>
      <c r="CQ8" s="68"/>
      <c r="CR8" s="63"/>
      <c r="CS8" s="62" t="s">
        <v>23</v>
      </c>
      <c r="CT8" s="63"/>
      <c r="CU8" s="64"/>
      <c r="CV8" s="65"/>
      <c r="CW8" s="65"/>
      <c r="CX8" s="63"/>
      <c r="CY8" s="63"/>
      <c r="CZ8" s="66" t="s">
        <v>17</v>
      </c>
      <c r="DA8" s="67"/>
      <c r="DB8" s="67"/>
      <c r="DC8" s="68"/>
      <c r="DD8" s="63"/>
      <c r="DE8" s="62" t="s">
        <v>24</v>
      </c>
      <c r="DF8" s="63"/>
      <c r="DG8" s="64"/>
      <c r="DH8" s="65"/>
      <c r="DI8" s="65"/>
      <c r="DJ8" s="63"/>
      <c r="DK8" s="63"/>
      <c r="DL8" s="66" t="s">
        <v>17</v>
      </c>
      <c r="DM8" s="67"/>
      <c r="DN8" s="67"/>
      <c r="DO8" s="68"/>
      <c r="DP8" s="63"/>
      <c r="DQ8" s="62" t="s">
        <v>25</v>
      </c>
      <c r="DR8" s="63"/>
      <c r="DS8" s="64"/>
      <c r="DT8" s="65"/>
      <c r="DU8" s="65"/>
      <c r="DV8" s="63"/>
      <c r="DW8" s="63"/>
      <c r="DX8" s="66" t="s">
        <v>17</v>
      </c>
      <c r="DY8" s="67"/>
      <c r="DZ8" s="67"/>
      <c r="EA8" s="68"/>
      <c r="EB8" s="63"/>
      <c r="EC8" s="62" t="s">
        <v>26</v>
      </c>
      <c r="ED8" s="63"/>
      <c r="EE8" s="64"/>
      <c r="EF8" s="65"/>
      <c r="EG8" s="65"/>
      <c r="EH8" s="63"/>
      <c r="EI8" s="63"/>
      <c r="EJ8" s="66" t="s">
        <v>17</v>
      </c>
      <c r="EK8" s="67"/>
      <c r="EL8" s="67"/>
      <c r="EM8" s="68"/>
      <c r="EN8" s="69"/>
      <c r="EQ8" s="234" t="s">
        <v>84</v>
      </c>
      <c r="ER8" s="233"/>
      <c r="ES8" s="233"/>
      <c r="ET8" s="233"/>
      <c r="EU8" s="233"/>
      <c r="EV8" s="233"/>
      <c r="EW8" s="233"/>
      <c r="EX8" s="233"/>
      <c r="EY8" s="236"/>
      <c r="EZ8" s="235" t="s">
        <v>85</v>
      </c>
      <c r="FA8" s="232"/>
      <c r="FB8" s="232"/>
      <c r="FC8" s="232"/>
      <c r="FD8" s="232"/>
      <c r="FE8" s="232"/>
      <c r="FF8" s="232"/>
      <c r="FG8" s="232"/>
      <c r="FH8" s="232"/>
      <c r="FI8" s="232"/>
      <c r="GC8" s="26">
        <f>COUNT(GC11:GC62)</f>
        <v>0</v>
      </c>
      <c r="GF8" s="26">
        <f>COUNT(FY11:FY62)</f>
        <v>0</v>
      </c>
    </row>
    <row r="9" spans="1:158" ht="25.5" customHeight="1" hidden="1">
      <c r="A9" s="16"/>
      <c r="B9" s="56"/>
      <c r="C9" s="70"/>
      <c r="D9" s="56"/>
      <c r="E9" s="56"/>
      <c r="F9" s="29"/>
      <c r="G9" s="29"/>
      <c r="H9" s="29"/>
      <c r="I9" s="71"/>
      <c r="J9" s="72"/>
      <c r="K9" s="73"/>
      <c r="L9" s="74"/>
      <c r="M9" s="75"/>
      <c r="N9" s="75"/>
      <c r="O9" s="76"/>
      <c r="P9" s="77"/>
      <c r="Q9" s="78"/>
      <c r="R9" s="79"/>
      <c r="S9" s="79"/>
      <c r="T9" s="77"/>
      <c r="U9" s="77"/>
      <c r="V9" s="124"/>
      <c r="W9" s="80"/>
      <c r="X9" s="81"/>
      <c r="Y9" s="77"/>
      <c r="Z9" s="226"/>
      <c r="AA9" s="77"/>
      <c r="AB9" s="78"/>
      <c r="AC9" s="79"/>
      <c r="AD9" s="79"/>
      <c r="AE9" s="77"/>
      <c r="AF9" s="77"/>
      <c r="AG9" s="124"/>
      <c r="AH9" s="80"/>
      <c r="AI9" s="81"/>
      <c r="AJ9" s="77"/>
      <c r="AK9" s="76"/>
      <c r="AL9" s="77"/>
      <c r="AM9" s="78"/>
      <c r="AN9" s="79"/>
      <c r="AO9" s="79"/>
      <c r="AP9" s="77"/>
      <c r="AQ9" s="77"/>
      <c r="AR9" s="124"/>
      <c r="AS9" s="80"/>
      <c r="AT9" s="80"/>
      <c r="AU9" s="81"/>
      <c r="AV9" s="77"/>
      <c r="AW9" s="76"/>
      <c r="AX9" s="77"/>
      <c r="AY9" s="78"/>
      <c r="AZ9" s="79"/>
      <c r="BA9" s="79"/>
      <c r="BB9" s="77"/>
      <c r="BC9" s="77"/>
      <c r="BD9" s="124"/>
      <c r="BE9" s="80"/>
      <c r="BF9" s="80"/>
      <c r="BG9" s="81"/>
      <c r="BH9" s="77"/>
      <c r="BI9" s="76"/>
      <c r="BJ9" s="77"/>
      <c r="BK9" s="78"/>
      <c r="BL9" s="79"/>
      <c r="BM9" s="79"/>
      <c r="BN9" s="77"/>
      <c r="BO9" s="77"/>
      <c r="BP9" s="124"/>
      <c r="BQ9" s="80"/>
      <c r="BR9" s="80"/>
      <c r="BS9" s="81"/>
      <c r="BT9" s="77"/>
      <c r="BU9" s="76"/>
      <c r="BV9" s="77"/>
      <c r="BW9" s="78"/>
      <c r="BX9" s="79"/>
      <c r="BY9" s="79"/>
      <c r="BZ9" s="77"/>
      <c r="CA9" s="77"/>
      <c r="CB9" s="124"/>
      <c r="CC9" s="80"/>
      <c r="CD9" s="80"/>
      <c r="CE9" s="81"/>
      <c r="CF9" s="77"/>
      <c r="CG9" s="76"/>
      <c r="CH9" s="77"/>
      <c r="CI9" s="78"/>
      <c r="CJ9" s="79"/>
      <c r="CK9" s="79"/>
      <c r="CL9" s="77"/>
      <c r="CM9" s="77"/>
      <c r="CN9" s="124"/>
      <c r="CO9" s="80"/>
      <c r="CP9" s="80"/>
      <c r="CQ9" s="81"/>
      <c r="CR9" s="77"/>
      <c r="CS9" s="76"/>
      <c r="CT9" s="77"/>
      <c r="CU9" s="78"/>
      <c r="CV9" s="79"/>
      <c r="CW9" s="79"/>
      <c r="CX9" s="77"/>
      <c r="CY9" s="77"/>
      <c r="CZ9" s="124"/>
      <c r="DA9" s="80"/>
      <c r="DB9" s="80"/>
      <c r="DC9" s="81"/>
      <c r="DD9" s="77"/>
      <c r="DE9" s="76"/>
      <c r="DF9" s="77"/>
      <c r="DG9" s="78"/>
      <c r="DH9" s="79"/>
      <c r="DI9" s="79"/>
      <c r="DJ9" s="77"/>
      <c r="DK9" s="77"/>
      <c r="DL9" s="124"/>
      <c r="DM9" s="80"/>
      <c r="DN9" s="80"/>
      <c r="DO9" s="81"/>
      <c r="DP9" s="77"/>
      <c r="DQ9" s="76"/>
      <c r="DR9" s="77"/>
      <c r="DS9" s="78"/>
      <c r="DT9" s="79"/>
      <c r="DU9" s="79"/>
      <c r="DV9" s="77"/>
      <c r="DW9" s="77"/>
      <c r="DX9" s="124"/>
      <c r="DY9" s="80"/>
      <c r="DZ9" s="80"/>
      <c r="EA9" s="81"/>
      <c r="EB9" s="77"/>
      <c r="EC9" s="76"/>
      <c r="ED9" s="77"/>
      <c r="EE9" s="78"/>
      <c r="EF9" s="79"/>
      <c r="EG9" s="79"/>
      <c r="EH9" s="77"/>
      <c r="EI9" s="77"/>
      <c r="EJ9" s="124"/>
      <c r="EK9" s="80"/>
      <c r="EL9" s="80"/>
      <c r="EM9" s="81"/>
      <c r="EN9" s="82"/>
      <c r="FB9" s="28"/>
    </row>
    <row r="10" spans="1:196" ht="62.25" customHeight="1">
      <c r="A10" s="83" t="s">
        <v>77</v>
      </c>
      <c r="B10" s="84" t="s">
        <v>27</v>
      </c>
      <c r="C10" s="85" t="s">
        <v>28</v>
      </c>
      <c r="D10" s="85" t="s">
        <v>29</v>
      </c>
      <c r="E10" s="85" t="s">
        <v>80</v>
      </c>
      <c r="F10" s="85" t="s">
        <v>30</v>
      </c>
      <c r="G10" s="85" t="s">
        <v>15</v>
      </c>
      <c r="H10" s="85"/>
      <c r="I10" s="86" t="s">
        <v>78</v>
      </c>
      <c r="J10" s="87"/>
      <c r="K10" s="88" t="s">
        <v>31</v>
      </c>
      <c r="L10" s="86" t="s">
        <v>78</v>
      </c>
      <c r="M10" s="88"/>
      <c r="N10" s="88" t="s">
        <v>31</v>
      </c>
      <c r="O10" s="89" t="s">
        <v>32</v>
      </c>
      <c r="P10" s="89"/>
      <c r="Q10" s="89" t="s">
        <v>33</v>
      </c>
      <c r="R10" s="89" t="s">
        <v>34</v>
      </c>
      <c r="S10" s="84" t="s">
        <v>35</v>
      </c>
      <c r="T10" s="84" t="s">
        <v>81</v>
      </c>
      <c r="U10" s="90"/>
      <c r="V10" s="91"/>
      <c r="W10" s="92"/>
      <c r="X10" s="92"/>
      <c r="Y10" s="93"/>
      <c r="Z10" s="245" t="s">
        <v>32</v>
      </c>
      <c r="AA10" s="89"/>
      <c r="AB10" s="89" t="s">
        <v>33</v>
      </c>
      <c r="AC10" s="89" t="s">
        <v>34</v>
      </c>
      <c r="AD10" s="84" t="s">
        <v>35</v>
      </c>
      <c r="AE10" s="84" t="s">
        <v>36</v>
      </c>
      <c r="AF10" s="90"/>
      <c r="AG10" s="91" t="s">
        <v>37</v>
      </c>
      <c r="AH10" s="92" t="s">
        <v>38</v>
      </c>
      <c r="AI10" s="92" t="s">
        <v>39</v>
      </c>
      <c r="AJ10" s="93"/>
      <c r="AK10" s="89" t="s">
        <v>32</v>
      </c>
      <c r="AL10" s="89"/>
      <c r="AM10" s="89" t="s">
        <v>33</v>
      </c>
      <c r="AN10" s="89" t="s">
        <v>34</v>
      </c>
      <c r="AO10" s="84" t="s">
        <v>35</v>
      </c>
      <c r="AP10" s="84" t="s">
        <v>40</v>
      </c>
      <c r="AQ10" s="90"/>
      <c r="AR10" s="91" t="s">
        <v>37</v>
      </c>
      <c r="AS10" s="92" t="s">
        <v>76</v>
      </c>
      <c r="AT10" s="92" t="s">
        <v>38</v>
      </c>
      <c r="AU10" s="92" t="s">
        <v>41</v>
      </c>
      <c r="AV10" s="93"/>
      <c r="AW10" s="89" t="s">
        <v>32</v>
      </c>
      <c r="AX10" s="89"/>
      <c r="AY10" s="89" t="s">
        <v>33</v>
      </c>
      <c r="AZ10" s="89" t="s">
        <v>34</v>
      </c>
      <c r="BA10" s="84" t="s">
        <v>35</v>
      </c>
      <c r="BB10" s="84" t="s">
        <v>42</v>
      </c>
      <c r="BC10" s="90"/>
      <c r="BD10" s="91" t="s">
        <v>37</v>
      </c>
      <c r="BE10" s="92" t="s">
        <v>76</v>
      </c>
      <c r="BF10" s="92" t="s">
        <v>38</v>
      </c>
      <c r="BG10" s="92" t="s">
        <v>43</v>
      </c>
      <c r="BH10" s="93"/>
      <c r="BI10" s="89" t="s">
        <v>32</v>
      </c>
      <c r="BJ10" s="94"/>
      <c r="BK10" s="89" t="s">
        <v>33</v>
      </c>
      <c r="BL10" s="89" t="s">
        <v>34</v>
      </c>
      <c r="BM10" s="84" t="s">
        <v>35</v>
      </c>
      <c r="BN10" s="84" t="s">
        <v>44</v>
      </c>
      <c r="BO10" s="90"/>
      <c r="BP10" s="91" t="s">
        <v>37</v>
      </c>
      <c r="BQ10" s="92" t="s">
        <v>76</v>
      </c>
      <c r="BR10" s="89" t="s">
        <v>38</v>
      </c>
      <c r="BS10" s="92" t="s">
        <v>45</v>
      </c>
      <c r="BT10" s="93"/>
      <c r="BU10" s="89" t="s">
        <v>32</v>
      </c>
      <c r="BV10" s="94"/>
      <c r="BW10" s="89" t="s">
        <v>33</v>
      </c>
      <c r="BX10" s="89" t="s">
        <v>34</v>
      </c>
      <c r="BY10" s="84" t="s">
        <v>35</v>
      </c>
      <c r="BZ10" s="84" t="s">
        <v>46</v>
      </c>
      <c r="CA10" s="90"/>
      <c r="CB10" s="91" t="s">
        <v>37</v>
      </c>
      <c r="CC10" s="92" t="s">
        <v>76</v>
      </c>
      <c r="CD10" s="95" t="s">
        <v>38</v>
      </c>
      <c r="CE10" s="92" t="s">
        <v>47</v>
      </c>
      <c r="CF10" s="93"/>
      <c r="CG10" s="89" t="s">
        <v>32</v>
      </c>
      <c r="CH10" s="94"/>
      <c r="CI10" s="89" t="s">
        <v>33</v>
      </c>
      <c r="CJ10" s="89" t="s">
        <v>34</v>
      </c>
      <c r="CK10" s="84" t="s">
        <v>35</v>
      </c>
      <c r="CL10" s="84" t="s">
        <v>48</v>
      </c>
      <c r="CM10" s="90"/>
      <c r="CN10" s="91" t="s">
        <v>37</v>
      </c>
      <c r="CO10" s="92" t="s">
        <v>76</v>
      </c>
      <c r="CP10" s="95" t="s">
        <v>38</v>
      </c>
      <c r="CQ10" s="92" t="s">
        <v>49</v>
      </c>
      <c r="CR10" s="93"/>
      <c r="CS10" s="89" t="s">
        <v>32</v>
      </c>
      <c r="CT10" s="94"/>
      <c r="CU10" s="89" t="s">
        <v>33</v>
      </c>
      <c r="CV10" s="89" t="s">
        <v>34</v>
      </c>
      <c r="CW10" s="84" t="s">
        <v>35</v>
      </c>
      <c r="CX10" s="84" t="s">
        <v>50</v>
      </c>
      <c r="CY10" s="90"/>
      <c r="CZ10" s="91" t="s">
        <v>37</v>
      </c>
      <c r="DA10" s="92" t="s">
        <v>76</v>
      </c>
      <c r="DB10" s="95" t="s">
        <v>38</v>
      </c>
      <c r="DC10" s="92" t="s">
        <v>51</v>
      </c>
      <c r="DD10" s="93"/>
      <c r="DE10" s="89" t="s">
        <v>32</v>
      </c>
      <c r="DF10" s="94"/>
      <c r="DG10" s="89" t="s">
        <v>33</v>
      </c>
      <c r="DH10" s="89" t="s">
        <v>34</v>
      </c>
      <c r="DI10" s="84" t="s">
        <v>35</v>
      </c>
      <c r="DJ10" s="84" t="s">
        <v>52</v>
      </c>
      <c r="DK10" s="90"/>
      <c r="DL10" s="91" t="s">
        <v>37</v>
      </c>
      <c r="DM10" s="92" t="s">
        <v>76</v>
      </c>
      <c r="DN10" s="95" t="s">
        <v>38</v>
      </c>
      <c r="DO10" s="92" t="s">
        <v>53</v>
      </c>
      <c r="DP10" s="93"/>
      <c r="DQ10" s="89" t="s">
        <v>32</v>
      </c>
      <c r="DR10" s="94"/>
      <c r="DS10" s="89" t="s">
        <v>33</v>
      </c>
      <c r="DT10" s="89" t="s">
        <v>34</v>
      </c>
      <c r="DU10" s="84" t="s">
        <v>35</v>
      </c>
      <c r="DV10" s="84" t="s">
        <v>54</v>
      </c>
      <c r="DW10" s="90"/>
      <c r="DX10" s="91" t="s">
        <v>37</v>
      </c>
      <c r="DY10" s="92" t="s">
        <v>76</v>
      </c>
      <c r="DZ10" s="95" t="s">
        <v>38</v>
      </c>
      <c r="EA10" s="92" t="s">
        <v>55</v>
      </c>
      <c r="EB10" s="93"/>
      <c r="EC10" s="89" t="s">
        <v>32</v>
      </c>
      <c r="ED10" s="94"/>
      <c r="EE10" s="89" t="s">
        <v>33</v>
      </c>
      <c r="EF10" s="89" t="s">
        <v>34</v>
      </c>
      <c r="EG10" s="84" t="s">
        <v>35</v>
      </c>
      <c r="EH10" s="84" t="s">
        <v>56</v>
      </c>
      <c r="EI10" s="90"/>
      <c r="EJ10" s="91" t="s">
        <v>37</v>
      </c>
      <c r="EK10" s="92" t="s">
        <v>76</v>
      </c>
      <c r="EL10" s="95" t="s">
        <v>38</v>
      </c>
      <c r="EM10" s="92" t="s">
        <v>57</v>
      </c>
      <c r="EN10" s="96"/>
      <c r="EP10" s="97" t="s">
        <v>58</v>
      </c>
      <c r="EQ10" s="26">
        <v>2</v>
      </c>
      <c r="ER10" s="26">
        <v>3</v>
      </c>
      <c r="ES10" s="26">
        <v>4</v>
      </c>
      <c r="ET10" s="26">
        <v>5</v>
      </c>
      <c r="EU10" s="26">
        <v>6</v>
      </c>
      <c r="EV10" s="26">
        <v>7</v>
      </c>
      <c r="EW10" s="26">
        <v>8</v>
      </c>
      <c r="EX10" s="26">
        <v>9</v>
      </c>
      <c r="EY10" s="26">
        <v>10</v>
      </c>
      <c r="EZ10" s="26">
        <v>1</v>
      </c>
      <c r="FA10" s="26">
        <v>2</v>
      </c>
      <c r="FB10" s="26">
        <v>3</v>
      </c>
      <c r="FC10" s="26">
        <v>4</v>
      </c>
      <c r="FD10" s="26">
        <v>5</v>
      </c>
      <c r="FE10" s="26">
        <v>6</v>
      </c>
      <c r="FF10" s="26">
        <v>7</v>
      </c>
      <c r="FG10" s="26">
        <v>8</v>
      </c>
      <c r="FH10" s="26">
        <v>9</v>
      </c>
      <c r="FI10" s="26">
        <v>10</v>
      </c>
      <c r="FL10" s="98" t="s">
        <v>59</v>
      </c>
      <c r="FM10" s="98" t="s">
        <v>60</v>
      </c>
      <c r="FN10" s="98" t="s">
        <v>61</v>
      </c>
      <c r="FO10" s="98" t="s">
        <v>62</v>
      </c>
      <c r="FP10" s="98" t="s">
        <v>63</v>
      </c>
      <c r="FQ10" s="98" t="s">
        <v>59</v>
      </c>
      <c r="FR10" s="98" t="s">
        <v>60</v>
      </c>
      <c r="FS10" s="98" t="s">
        <v>61</v>
      </c>
      <c r="FT10" s="98" t="s">
        <v>64</v>
      </c>
      <c r="FU10" s="98" t="s">
        <v>65</v>
      </c>
      <c r="FV10" s="98" t="s">
        <v>66</v>
      </c>
      <c r="FW10" s="98"/>
      <c r="FX10" s="98" t="s">
        <v>67</v>
      </c>
      <c r="FY10" s="98" t="s">
        <v>68</v>
      </c>
      <c r="FZ10" s="98" t="s">
        <v>69</v>
      </c>
      <c r="GA10" s="98" t="s">
        <v>70</v>
      </c>
      <c r="GB10" s="98"/>
      <c r="GC10" s="98" t="s">
        <v>71</v>
      </c>
      <c r="GD10" s="99" t="s">
        <v>72</v>
      </c>
      <c r="GE10" s="98"/>
      <c r="GF10" s="98"/>
      <c r="GG10" s="100" t="s">
        <v>28</v>
      </c>
      <c r="GH10" s="98" t="s">
        <v>73</v>
      </c>
      <c r="GI10" s="98" t="s">
        <v>73</v>
      </c>
      <c r="GJ10" s="98" t="s">
        <v>73</v>
      </c>
      <c r="GK10" s="98" t="s">
        <v>73</v>
      </c>
      <c r="GL10" s="101" t="s">
        <v>74</v>
      </c>
      <c r="GM10" s="98" t="s">
        <v>75</v>
      </c>
      <c r="GN10" s="98"/>
    </row>
    <row r="11" spans="1:195" ht="12.75">
      <c r="A11" s="16">
        <v>1</v>
      </c>
      <c r="B11" s="17"/>
      <c r="C11" s="18" t="s">
        <v>95</v>
      </c>
      <c r="D11" s="19" t="s">
        <v>96</v>
      </c>
      <c r="E11" s="168" t="s">
        <v>91</v>
      </c>
      <c r="F11" s="18" t="s">
        <v>97</v>
      </c>
      <c r="G11" s="148"/>
      <c r="H11" s="122">
        <f>IF(G11&lt;&gt;"",LEFT(UPPER(G11),1)&amp;IF(LEN(G11)&gt;1,MID(UPPER(G11),2,1)," ")&amp;IF(LEN(G11)&gt;2,MID(UPPER(G11),3,1)," "),"")</f>
      </c>
      <c r="I11" s="30">
        <f>IF(Z11&lt;&gt;"",J11,"")</f>
        <v>3713.2</v>
      </c>
      <c r="J11" s="30">
        <f>AD11+AO11+BA11+BM11+BY11+CK11+CW11+DI11+DU11+EG11-(MIN(EZ11:FI11)*$EY$2)</f>
        <v>3713.2</v>
      </c>
      <c r="K11" s="139">
        <f ca="1">IF(I11&lt;&gt;"",RANK(I11,J$11:INDIRECT(J$7,FALSE)),"")</f>
        <v>26</v>
      </c>
      <c r="L11" s="102">
        <f>IF(AND(H11&lt;&gt;"",OR(M11&lt;&gt;0,Z11&lt;&gt;"")),M11,"")</f>
      </c>
      <c r="M11" s="102">
        <f>IF(G11&lt;&gt;"",SUMIF($H$11:$H$62,H11,$J$11:$J$62),0)</f>
        <v>0</v>
      </c>
      <c r="N11" s="51">
        <f aca="true" t="shared" si="1" ref="N11:N42">GA11</f>
      </c>
      <c r="O11" s="150"/>
      <c r="P11" s="151">
        <f>IF(O11,O11,"")</f>
      </c>
      <c r="Q11" s="152"/>
      <c r="R11" s="153">
        <f>IF(O11&gt;0,ROUND((1000*Q$5)/O11,1),IF(O11="","",0))</f>
      </c>
      <c r="S11" s="153">
        <f>IF(R11&lt;&gt;"",R11-Q11,-Q11)</f>
        <v>0</v>
      </c>
      <c r="T11" s="154">
        <f ca="1">IF(OR(O11&lt;&gt;"",Q11&lt;&gt;""),RANK(S11,S$11:INDIRECT(S$7,FALSE)),"")</f>
      </c>
      <c r="U11" s="155"/>
      <c r="V11" s="156"/>
      <c r="W11" s="156"/>
      <c r="X11" s="157"/>
      <c r="Y11" s="158"/>
      <c r="Z11" s="227">
        <v>73.23</v>
      </c>
      <c r="AA11" s="103">
        <f>IF(Z11,Z11,"")</f>
        <v>73.23</v>
      </c>
      <c r="AB11" s="20"/>
      <c r="AC11" s="104">
        <f>IF(Z11&gt;0,ROUND((1000*AB$5)/Z11,1),IF(Z11="","",0))</f>
        <v>747</v>
      </c>
      <c r="AD11" s="104">
        <f>IF(AC11&lt;&gt;"",AC11-AB11,-AB11)</f>
        <v>747</v>
      </c>
      <c r="AE11" s="105">
        <f ca="1">IF(OR(Z11&lt;&gt;"",AB11&lt;&gt;""),RANK(AD11,AD$11:INDIRECT(AD$7,FALSE)),"")</f>
        <v>23</v>
      </c>
      <c r="AF11" s="106"/>
      <c r="AG11" s="107">
        <f>IF(OR(Z11&lt;&gt;"",AB11&lt;&gt;""),AD11,"")</f>
        <v>747</v>
      </c>
      <c r="AH11" s="107">
        <f>IF(AD11,AD11,0)</f>
        <v>747</v>
      </c>
      <c r="AI11" s="108">
        <f ca="1">IF(OR(Z11&lt;&gt;"",AB11&lt;&gt;""),RANK(AH11,AH$11:INDIRECT(AH$7,FALSE)),"")</f>
        <v>23</v>
      </c>
      <c r="AJ11" s="109"/>
      <c r="AK11" s="4">
        <v>73.03</v>
      </c>
      <c r="AL11" s="103">
        <f aca="true" t="shared" si="2" ref="AL11:AL27">IF(AK11,AK11,"")</f>
        <v>73.03</v>
      </c>
      <c r="AM11" s="20"/>
      <c r="AN11" s="104">
        <f>IF(AK11&gt;0,ROUND((1000*AM$5)/AK11,1),IF(AK11="","",0))</f>
        <v>713.8</v>
      </c>
      <c r="AO11" s="104">
        <f>IF(AN11&lt;&gt;"",AN11-AM11,-AM11)</f>
        <v>713.8</v>
      </c>
      <c r="AP11" s="105">
        <f ca="1">IF(OR(AK11&lt;&gt;"",AM11&lt;&gt;""),RANK(AO11,AO$11:INDIRECT(AO$7,FALSE)),"")</f>
        <v>25</v>
      </c>
      <c r="AQ11" s="106"/>
      <c r="AR11" s="107">
        <f aca="true" t="shared" si="3" ref="AR11:AR42">IF(OR(AK11&lt;&gt;"",AM11&lt;&gt;""),AD11+AO11-IF($F$8&lt;3,EQ11,0),"")</f>
        <v>1460.8</v>
      </c>
      <c r="AS11" s="110">
        <f>IF(AND($F$8&lt;3,AR11&lt;&gt;""),HLOOKUP(MATCH(EQ11,EZ11:FA11,0),Discards,1,FALSE),"")</f>
      </c>
      <c r="AT11" s="107">
        <f aca="true" t="shared" si="4" ref="AT11:AT42">IF(OR(AK11&lt;&gt;"",AM11&lt;&gt;""),AR11,0)</f>
        <v>1460.8</v>
      </c>
      <c r="AU11" s="108">
        <f ca="1">IF(OR(AK11&lt;&gt;"",AM11&lt;&gt;""),RANK(AT11,AT$11:INDIRECT(AT$7,FALSE)),"")</f>
        <v>26</v>
      </c>
      <c r="AV11" s="109"/>
      <c r="AW11" s="4">
        <v>72.69</v>
      </c>
      <c r="AX11" s="103">
        <f aca="true" t="shared" si="5" ref="AX11:AX26">IF(AW11,AW11,"")</f>
        <v>72.69</v>
      </c>
      <c r="AY11" s="20"/>
      <c r="AZ11" s="104">
        <f>IF(AW11&gt;0,ROUND((1000*AY$5)/AW11,1),IF(AW11="","",0))</f>
        <v>648.8</v>
      </c>
      <c r="BA11" s="104">
        <f>IF(AZ11&lt;&gt;"",AZ11-AY11,-AY11)</f>
        <v>648.8</v>
      </c>
      <c r="BB11" s="105">
        <f ca="1">IF(OR(AW11&lt;&gt;"",AY11&lt;&gt;""),RANK(BA11,BA$11:INDIRECT(BA$7,FALSE)),"")</f>
        <v>26</v>
      </c>
      <c r="BC11" s="106"/>
      <c r="BD11" s="107">
        <f aca="true" t="shared" si="6" ref="BD11:BD42">IF(OR(AW11&lt;&gt;"",AY11&lt;&gt;""),AD11+AO11+BA11-IF($F$8&lt;4,ER11,0),"")</f>
        <v>2109.6</v>
      </c>
      <c r="BE11" s="110">
        <f>IF(AND($F$8&lt;4,BD11&lt;&gt;""),HLOOKUP(MATCH(ER11,EZ11:FB11,0),Discards,1,FALSE),"")</f>
      </c>
      <c r="BF11" s="107">
        <f>IF(OR(AW11&lt;&gt;"",AY11&lt;&gt;""),BD11,0)</f>
        <v>2109.6</v>
      </c>
      <c r="BG11" s="108">
        <f ca="1">IF(OR(AW11&lt;&gt;"",AY11&lt;&gt;""),RANK(BF11,BF$11:INDIRECT(BF$7,FALSE)),"")</f>
        <v>26</v>
      </c>
      <c r="BH11" s="109"/>
      <c r="BI11" s="4">
        <v>56.89</v>
      </c>
      <c r="BJ11" s="103">
        <f aca="true" t="shared" si="7" ref="BJ11:BJ26">IF(BI11,BI11,"")</f>
        <v>56.89</v>
      </c>
      <c r="BK11" s="20"/>
      <c r="BL11" s="104">
        <f>IF(BI11&gt;0,ROUND((1000*BK$5)/BI11,1),IF(BI11="","",0))</f>
        <v>862.9</v>
      </c>
      <c r="BM11" s="104">
        <f>IF(BL11&lt;&gt;"",BL11-BK11,-BK11)</f>
        <v>862.9</v>
      </c>
      <c r="BN11" s="105">
        <f ca="1">IF(OR(BI11&lt;&gt;"",BK11&lt;&gt;""),RANK(BM11,BM$11:INDIRECT(BM$7,FALSE)),"")</f>
        <v>16</v>
      </c>
      <c r="BO11" s="106"/>
      <c r="BP11" s="107">
        <f aca="true" t="shared" si="8" ref="BP11:BP42">IF(OR(BI11&lt;&gt;"",BK11&lt;&gt;""),AD11+AO11+BA11+BM11-IF($F$8&lt;5,ES11,0),"")</f>
        <v>2972.5</v>
      </c>
      <c r="BQ11" s="110">
        <f>IF(AND($F$8&lt;5,BP11&lt;&gt;""),HLOOKUP(MATCH(ES11,EZ11:FC11,0),Discards,1,FALSE),"")</f>
      </c>
      <c r="BR11" s="107">
        <f>IF(OR(BI11&lt;&gt;"",BK11&lt;&gt;""),BP11,0)</f>
        <v>2972.5</v>
      </c>
      <c r="BS11" s="108">
        <f ca="1">IF(OR(BI11&lt;&gt;"",BK11&lt;&gt;""),RANK(BR11,BR$11:INDIRECT(BR$7,FALSE)),"")</f>
        <v>26</v>
      </c>
      <c r="BT11" s="109"/>
      <c r="BU11" s="4">
        <v>61.74</v>
      </c>
      <c r="BV11" s="103">
        <f aca="true" t="shared" si="9" ref="BV11:BV26">IF(BU11,BU11,"")</f>
        <v>61.74</v>
      </c>
      <c r="BW11" s="20"/>
      <c r="BX11" s="104">
        <f>IF(BU11&gt;0,ROUND((1000*BW$5)/BU11,1),IF(BU11="","",0))</f>
        <v>740.7</v>
      </c>
      <c r="BY11" s="104">
        <f>IF(BX11&lt;&gt;"",BX11-BW11,-BW11)</f>
        <v>740.7</v>
      </c>
      <c r="BZ11" s="105">
        <f ca="1">IF(OR(BU11&lt;&gt;"",BW11&lt;&gt;""),RANK(BY11,BY$11:INDIRECT(BY$7,FALSE)),"")</f>
        <v>24</v>
      </c>
      <c r="CA11" s="106"/>
      <c r="CB11" s="107">
        <f aca="true" t="shared" si="10" ref="CB11:CB42">IF(OR(BU11&lt;&gt;"",BW11&lt;&gt;""),AD11+AO11+BA11+BM11+BY11-IF($F$8&lt;6,ET11,0),"")</f>
        <v>3064.3999999999996</v>
      </c>
      <c r="CC11" s="110">
        <f>IF(AND($F$8&lt;6,CB11&lt;&gt;""),HLOOKUP(MATCH(ET11,EZ11:FD11,0),Discards,1,FALSE),"")</f>
        <v>3</v>
      </c>
      <c r="CD11" s="107">
        <f>IF(OR(BU11&lt;&gt;"",BW11&lt;&gt;""),CB11,0)</f>
        <v>3064.3999999999996</v>
      </c>
      <c r="CE11" s="108">
        <f ca="1">IF(OR(BU11&lt;&gt;"",BW11&lt;&gt;""),RANK(CD11,CD$11:INDIRECT(CD$7,FALSE)),"")</f>
        <v>26</v>
      </c>
      <c r="CF11" s="109"/>
      <c r="CG11" s="4">
        <v>0</v>
      </c>
      <c r="CH11" s="103">
        <f aca="true" t="shared" si="11" ref="CH11:CH26">IF(CG11,CG11,"")</f>
      </c>
      <c r="CI11" s="20"/>
      <c r="CJ11" s="104">
        <f>IF(CG11&gt;0,ROUND((1000*CI$5)/CG11,1),IF(CG11="","",0))</f>
        <v>0</v>
      </c>
      <c r="CK11" s="104">
        <f>IF(CJ11&lt;&gt;"",CJ11-CI11,-CI11)</f>
        <v>0</v>
      </c>
      <c r="CL11" s="105">
        <f ca="1">IF(OR(CG11&lt;&gt;"",CI11&lt;&gt;""),RANK(CK11,CK$11:INDIRECT(CK$7,FALSE)),"")</f>
        <v>25</v>
      </c>
      <c r="CM11" s="106"/>
      <c r="CN11" s="107">
        <f aca="true" t="shared" si="12" ref="CN11:CN42">IF(OR(CG11&lt;&gt;"",CI11&lt;&gt;""),AD11+AO11+BA11+BM11+BY11+CK11-IF($F$8&lt;7,EU11,0),"")</f>
        <v>3713.2</v>
      </c>
      <c r="CO11" s="110">
        <f>IF(AND($F$8&lt;7,CN11&lt;&gt;""),HLOOKUP(MATCH(EU11,EZ11:FE11,0),Discards,1,FALSE),"")</f>
        <v>6</v>
      </c>
      <c r="CP11" s="107">
        <f>IF(OR(CG11&lt;&gt;"",CI11&lt;&gt;""),CN11,0)</f>
        <v>3713.2</v>
      </c>
      <c r="CQ11" s="108">
        <f ca="1">IF(OR(CG11&lt;&gt;"",CI11&lt;&gt;""),RANK(CP11,CP$11:INDIRECT(CP$7,FALSE)),"")</f>
        <v>26</v>
      </c>
      <c r="CR11" s="109"/>
      <c r="CS11" s="4">
        <v>0</v>
      </c>
      <c r="CT11" s="103">
        <f aca="true" t="shared" si="13" ref="CT11:CT26">IF(CS11,CS11,"")</f>
      </c>
      <c r="CU11" s="20"/>
      <c r="CV11" s="104">
        <f>IF(CS11&gt;0,ROUND((1000*CU$5)/CS11,1),IF(CS11="","",0))</f>
        <v>0</v>
      </c>
      <c r="CW11" s="104">
        <f>IF(CV11&lt;&gt;"",CV11-CU11,-CU11)</f>
        <v>0</v>
      </c>
      <c r="CX11" s="105">
        <f ca="1">IF(OR(CS11&lt;&gt;"",CU11&lt;&gt;""),RANK(CW11,CW$11:INDIRECT(CW$7,FALSE)),"")</f>
        <v>26</v>
      </c>
      <c r="CY11" s="106"/>
      <c r="CZ11" s="107">
        <f aca="true" t="shared" si="14" ref="CZ11:CZ42">IF(OR(CS11&lt;&gt;"",CU11&lt;&gt;""),AD11+AO11+BA11+BM11+BY11+CK11+CW11-IF($F$8&lt;8,EV11,0),"")</f>
        <v>3713.2</v>
      </c>
      <c r="DA11" s="110">
        <f>IF(AND($F$8&lt;8,CZ11&lt;&gt;""),HLOOKUP(MATCH(EV11,EZ11:FF11,0),Discards,1,FALSE),"")</f>
        <v>6</v>
      </c>
      <c r="DB11" s="107">
        <f>IF(OR(CS11&lt;&gt;"",CU11&lt;&gt;""),CZ11,0)</f>
        <v>3713.2</v>
      </c>
      <c r="DC11" s="108">
        <f ca="1">IF(OR(CS11&lt;&gt;"",CU11&lt;&gt;""),RANK(DB11,DB$11:INDIRECT(DB$7,FALSE)),"")</f>
        <v>26</v>
      </c>
      <c r="DD11" s="109"/>
      <c r="DE11" s="4">
        <v>0</v>
      </c>
      <c r="DF11" s="103">
        <f aca="true" t="shared" si="15" ref="DF11:DF26">IF(DE11,DE11,"")</f>
      </c>
      <c r="DG11" s="20"/>
      <c r="DH11" s="104">
        <f>IF(DE11&gt;0,ROUND((1000*DG$5)/DE11,1),IF(DE11="","",0))</f>
        <v>0</v>
      </c>
      <c r="DI11" s="104">
        <f>IF(DH11&lt;&gt;"",DH11-DG11,-DG11)</f>
        <v>0</v>
      </c>
      <c r="DJ11" s="105">
        <f ca="1">IF(OR(DE11&lt;&gt;"",DG11&lt;&gt;""),RANK(DI11,DI$11:INDIRECT(DI$7,FALSE)),"")</f>
        <v>25</v>
      </c>
      <c r="DK11" s="106"/>
      <c r="DL11" s="107">
        <f aca="true" t="shared" si="16" ref="DL11:DL42">IF(OR(DE11&lt;&gt;"",DG11&lt;&gt;""),AD11+AO11+BA11+BM11+BY11+CK11+CW11+DI11-IF($F$8&lt;9,EW11,0),"")</f>
        <v>3713.2</v>
      </c>
      <c r="DM11" s="110">
        <f>IF(AND($F$8&lt;9,DL11&lt;&gt;""),HLOOKUP(MATCH(EW11,EZ11:FG11,0),Discards,1,FALSE),"")</f>
        <v>6</v>
      </c>
      <c r="DN11" s="107">
        <f>IF(OR(DE11&lt;&gt;"",DG11&lt;&gt;""),DL11,0)</f>
        <v>3713.2</v>
      </c>
      <c r="DO11" s="108">
        <f ca="1">IF(OR(DE11&lt;&gt;"",DG11&lt;&gt;""),RANK(DN11,DN$11:INDIRECT(DN$7,FALSE)),"")</f>
        <v>26</v>
      </c>
      <c r="DP11" s="109"/>
      <c r="DQ11" s="4">
        <v>0</v>
      </c>
      <c r="DR11" s="103">
        <f aca="true" t="shared" si="17" ref="DR11:DR26">IF(DQ11,DQ11,"")</f>
      </c>
      <c r="DS11" s="20"/>
      <c r="DT11" s="104">
        <f>IF(DQ11&gt;0,ROUND((1000*DS$5)/DQ11,1),IF(DQ11="","",0))</f>
        <v>0</v>
      </c>
      <c r="DU11" s="104">
        <f>IF(DT11&lt;&gt;"",DT11-DS11,-DS11)</f>
        <v>0</v>
      </c>
      <c r="DV11" s="105">
        <f ca="1">IF(OR(DQ11&lt;&gt;"",DS11&lt;&gt;""),RANK(DU11,DU$11:INDIRECT(DU$7,FALSE)),"")</f>
        <v>26</v>
      </c>
      <c r="DW11" s="106"/>
      <c r="DX11" s="107">
        <f aca="true" t="shared" si="18" ref="DX11:DX42">IF(OR(DQ11&lt;&gt;"",DS11&lt;&gt;""),AD11+AO11+BA11+BM11+BY11+CK11+CW11+DI11+DU11-IF($F$8&lt;10,EX11,0),"")</f>
        <v>3713.2</v>
      </c>
      <c r="DY11" s="110">
        <f>IF(AND($F$8&lt;10,DX11&lt;&gt;""),HLOOKUP(MATCH(EX11,EZ11:FH11,0),Discards,1,FALSE),"")</f>
        <v>6</v>
      </c>
      <c r="DZ11" s="107">
        <f>IF(OR(DQ11&lt;&gt;"",DS11&lt;&gt;""),DX11,0)</f>
        <v>3713.2</v>
      </c>
      <c r="EA11" s="108">
        <f ca="1">IF(OR(DQ11&lt;&gt;"",DS11&lt;&gt;""),RANK(DZ11,DZ$11:INDIRECT(DZ$7,FALSE)),"")</f>
        <v>26</v>
      </c>
      <c r="EB11" s="109"/>
      <c r="EC11" s="4"/>
      <c r="ED11" s="103">
        <f aca="true" t="shared" si="19" ref="ED11:ED26">IF(EC11,EC11,"")</f>
      </c>
      <c r="EE11" s="20"/>
      <c r="EF11" s="104">
        <f>IF(EC11&gt;0,ROUND((1000*EE$5)/EC11,1),IF(EC11="","",0))</f>
      </c>
      <c r="EG11" s="104">
        <f>IF(EF11&lt;&gt;"",EF11-EE11,-EE11)</f>
        <v>0</v>
      </c>
      <c r="EH11" s="105">
        <f ca="1">IF(OR(EC11&lt;&gt;"",EE11&lt;&gt;""),RANK(EG11,EG$11:INDIRECT(EG$7,FALSE)),"")</f>
      </c>
      <c r="EI11" s="106"/>
      <c r="EJ11" s="107">
        <f aca="true" t="shared" si="20" ref="EJ11:EJ42">IF(OR(EC11&lt;&gt;"",EE11&lt;&gt;""),AD11+AO11+BA11+BM11+BY11+CK11+CW11+DI11+DU11+EG11-IF($F$8&lt;11,EY11,0),"")</f>
      </c>
      <c r="EK11" s="110">
        <f>IF(AND($F$8&lt;11,EJ11&lt;&gt;""),HLOOKUP(MATCH(EY11,EZ11:FI11,0),Discards,1,FALSE),"")</f>
      </c>
      <c r="EL11" s="107">
        <f>IF(OR(EC11&lt;&gt;"",EE11&lt;&gt;""),EJ11,0)</f>
        <v>0</v>
      </c>
      <c r="EM11" s="108">
        <f ca="1">IF(OR(EC11&lt;&gt;"",EE11&lt;&gt;""),RANK(EL11,EL$11:INDIRECT(EL$7,FALSE)),"")</f>
      </c>
      <c r="EN11" s="111"/>
      <c r="EP11" s="112">
        <f>IF(C11&lt;&gt;"",1,0)</f>
        <v>1</v>
      </c>
      <c r="EQ11" s="28">
        <f>MIN($EZ11:FA11)</f>
        <v>713.8</v>
      </c>
      <c r="ER11" s="28">
        <f>MIN($EZ11:FB11)</f>
        <v>648.8</v>
      </c>
      <c r="ES11" s="28">
        <f>MIN($EZ11:FC11)</f>
        <v>648.8</v>
      </c>
      <c r="ET11" s="28">
        <f>MIN($EZ11:FD11)</f>
        <v>648.8</v>
      </c>
      <c r="EU11" s="28">
        <f>MIN($EZ11:FE11)</f>
        <v>0</v>
      </c>
      <c r="EV11" s="28">
        <f>MIN($EZ11:FF11)</f>
        <v>0</v>
      </c>
      <c r="EW11" s="28">
        <f>MIN($EZ11:FG11)</f>
        <v>0</v>
      </c>
      <c r="EX11" s="28">
        <f>MIN($EZ11:FH11)</f>
        <v>0</v>
      </c>
      <c r="EY11" s="28">
        <f>MIN($EZ11:FI11)</f>
        <v>0</v>
      </c>
      <c r="EZ11" s="28">
        <f aca="true" t="shared" si="21" ref="EZ11:EZ42">AC11</f>
        <v>747</v>
      </c>
      <c r="FA11" s="28">
        <f aca="true" t="shared" si="22" ref="FA11:FA42">AN11</f>
        <v>713.8</v>
      </c>
      <c r="FB11" s="28">
        <f aca="true" t="shared" si="23" ref="FB11:FB42">AZ11</f>
        <v>648.8</v>
      </c>
      <c r="FC11" s="28">
        <f aca="true" t="shared" si="24" ref="FC11:FC42">BL11</f>
        <v>862.9</v>
      </c>
      <c r="FD11" s="28">
        <f aca="true" t="shared" si="25" ref="FD11:FD42">BX11</f>
        <v>740.7</v>
      </c>
      <c r="FE11" s="28">
        <f aca="true" t="shared" si="26" ref="FE11:FE42">CJ11</f>
        <v>0</v>
      </c>
      <c r="FF11" s="28">
        <f aca="true" t="shared" si="27" ref="FF11:FF42">CV11</f>
        <v>0</v>
      </c>
      <c r="FG11" s="28">
        <f aca="true" t="shared" si="28" ref="FG11:FG42">DH11</f>
        <v>0</v>
      </c>
      <c r="FH11" s="28">
        <f aca="true" t="shared" si="29" ref="FH11:FH42">DT11</f>
        <v>0</v>
      </c>
      <c r="FI11" s="28">
        <f aca="true" t="shared" si="30" ref="FI11:FI42">EF11</f>
      </c>
      <c r="FL11" s="26">
        <f>IF(H11&lt;&gt;"",(CODE(MID(H11,1,1))*1000)*1000,255000000)</f>
        <v>255000000</v>
      </c>
      <c r="FM11" s="26">
        <f>IF(H11&lt;&gt;"",IF(LEN(H11)&gt;1,CODE(MID(H11,2,1))*1000,255000),255000)</f>
        <v>255000</v>
      </c>
      <c r="FN11" s="26">
        <f>IF(H11&lt;&gt;"",IF(LEN(H11)&gt;2,CODE(MID(H11,3,1)),255),255)</f>
        <v>255</v>
      </c>
      <c r="FO11" s="26">
        <f>IF(C11&lt;&gt;"",SUM(FL11:FN11),0)</f>
        <v>255255255</v>
      </c>
      <c r="FP11" s="26">
        <f ca="1">IF(FO11&gt;0,SMALL($FO$11:INDIRECT($FO$7,FALSE),A11),0)</f>
        <v>255255255</v>
      </c>
      <c r="FQ11" s="26">
        <f>INT(FP11/1000000)</f>
        <v>255</v>
      </c>
      <c r="FR11" s="26">
        <f>INT(FP11/1000)-FQ11*1000</f>
        <v>255</v>
      </c>
      <c r="FS11" s="26">
        <f>FP11-FQ11*1000000-FR11*1000</f>
        <v>255</v>
      </c>
      <c r="FT11" s="26">
        <f>IF(FP11=255255255,"",IF(FP11&gt;0,CHAR(FQ11)&amp;CHAR(FR11)&amp;CHAR(FS11),""))</f>
      </c>
      <c r="FU11" s="26">
        <f>COUNTIF($FT$11:$FT$34,FT11)</f>
        <v>24</v>
      </c>
      <c r="FV11" s="28">
        <f aca="true" t="shared" si="31" ref="FV11:FV42">IF(AND(C11&lt;&gt;"",$AA$5,FU11&lt;&gt;"",FP11&lt;&gt;255255255),VLOOKUP(MATCH(FT11,$H$11:$H$62,0),Competitors,12,FALSE),"")</f>
      </c>
      <c r="FW11" s="26">
        <f>IF(FT11&lt;&gt;"",FT11,"")</f>
      </c>
      <c r="FX11" s="28">
        <f>IF(FW11&lt;&gt;"",FV11,"")</f>
      </c>
      <c r="FY11" s="26">
        <f ca="1">IF(FX11&lt;&gt;"",RANK(FX11,FX$11:INDIRECT(FX$7,FALSE)),"")</f>
      </c>
      <c r="FZ11" s="26">
        <f>IF(H11&lt;&gt;"",MATCH(H11,$FW$11:$FW$62,0),"")</f>
      </c>
      <c r="GA11" s="26">
        <f>IF(H11&lt;&gt;"",VLOOKUP(FZ11,$A$11:$FY$62,181,FALSE),"")</f>
      </c>
      <c r="GC11" s="27">
        <f aca="true" t="shared" si="32" ref="GC11:GC42">IF(AND(L11&lt;&gt;"",H11&lt;&gt;""),(L11+1000)*10000000000+FO11,"")</f>
      </c>
      <c r="GD11" s="27">
        <f aca="true" t="shared" si="33" ref="GD11:GD42">IF(AND(A11&lt;=$GC$8,GC11&lt;&gt;""),LARGE($GC$11:$GC$62,A11),"")</f>
      </c>
      <c r="GE11" s="27">
        <f>IF(GD11&lt;&gt;"",GD11,"")</f>
      </c>
      <c r="GF11" s="27">
        <f>IF(A11&lt;=$GF$8,LARGE($GE$11:$GE$62,A11),"")</f>
      </c>
      <c r="GG11" s="27">
        <f>IF(GF11&lt;&gt;"",VALUE(RIGHT(GF11,9)),0)</f>
        <v>0</v>
      </c>
      <c r="GH11" s="26">
        <f>INT(GG11/1000000)</f>
        <v>0</v>
      </c>
      <c r="GI11" s="26">
        <f>INT(GG11/1000)-GH11*1000</f>
        <v>0</v>
      </c>
      <c r="GJ11" s="26">
        <f>GG11-GH11*1000000-GI11*1000</f>
        <v>0</v>
      </c>
      <c r="GK11" s="26">
        <f>IF(GG11=255255255,"",IF(GG11&gt;0,CHAR(GH11)&amp;CHAR(GI11)&amp;CHAR(GJ11),""))</f>
      </c>
      <c r="GL11" s="28">
        <f>IF(GK11&lt;&gt;"",(GF11-GG11)/10000000000-1000,"")</f>
      </c>
      <c r="GM11" s="26">
        <f>IF(GL11&lt;&gt;"",RANK(GL11,$GL$11:$GL$62),"")</f>
      </c>
    </row>
    <row r="12" spans="1:195" ht="12.75">
      <c r="A12" s="16">
        <f>A11+1</f>
        <v>2</v>
      </c>
      <c r="B12" s="17"/>
      <c r="C12" s="18" t="s">
        <v>98</v>
      </c>
      <c r="D12" s="19" t="s">
        <v>99</v>
      </c>
      <c r="E12" s="18" t="s">
        <v>100</v>
      </c>
      <c r="F12" s="18" t="s">
        <v>13</v>
      </c>
      <c r="G12" s="148"/>
      <c r="H12" s="122">
        <f aca="true" t="shared" si="34" ref="H12:H27">IF(G12&lt;&gt;"",LEFT(UPPER(G12),1)&amp;IF(LEN(G12)&gt;1,MID(UPPER(G12),2,1)," ")&amp;IF(LEN(G12)&gt;2,MID(UPPER(G12),3,1)," "),"")</f>
      </c>
      <c r="I12" s="30">
        <f aca="true" t="shared" si="35" ref="I12:I27">IF(Z12&lt;&gt;"",J12,"")</f>
        <v>7040</v>
      </c>
      <c r="J12" s="30">
        <f>AD12+AO12+BA12+BM12+BY12+CK12+CW12+DI12+DU12+EG12-(MIN(EZ12:FI12)*$EY$2)</f>
        <v>7040</v>
      </c>
      <c r="K12" s="139">
        <f ca="1">IF(I12&lt;&gt;"",RANK(I12,J$11:INDIRECT(J$7,FALSE)),"")</f>
        <v>6</v>
      </c>
      <c r="L12" s="102">
        <f aca="true" t="shared" si="36" ref="L12:L27">IF(AND(H12&lt;&gt;"",OR(M12&lt;&gt;0,Z12&lt;&gt;"")),M12,"")</f>
      </c>
      <c r="M12" s="102">
        <f aca="true" t="shared" si="37" ref="M12:M27">IF(G12&lt;&gt;"",SUMIF($H$11:$H$62,H12,$J$11:$J$62),0)</f>
        <v>0</v>
      </c>
      <c r="N12" s="51">
        <f t="shared" si="1"/>
      </c>
      <c r="O12" s="150"/>
      <c r="P12" s="151">
        <f aca="true" t="shared" si="38" ref="P12:P59">IF(O12,O12,"")</f>
      </c>
      <c r="Q12" s="152"/>
      <c r="R12" s="153">
        <f aca="true" t="shared" si="39" ref="R12:R59">IF(O12&gt;0,ROUND((1000*Q$5)/O12,1),IF(O12="","",0))</f>
      </c>
      <c r="S12" s="153">
        <f aca="true" t="shared" si="40" ref="S12:S59">IF(R12&lt;&gt;"",R12-Q12,-Q12)</f>
        <v>0</v>
      </c>
      <c r="T12" s="154">
        <f ca="1">IF(OR(O12&lt;&gt;"",Q12&lt;&gt;""),RANK(S12,S$11:INDIRECT(S$7,FALSE)),"")</f>
      </c>
      <c r="U12" s="155"/>
      <c r="V12" s="156"/>
      <c r="W12" s="156"/>
      <c r="X12" s="157"/>
      <c r="Y12" s="158"/>
      <c r="Z12" s="227">
        <v>58</v>
      </c>
      <c r="AA12" s="103">
        <f aca="true" t="shared" si="41" ref="AA12:AA27">IF(Z12,Z12,"")</f>
        <v>58</v>
      </c>
      <c r="AB12" s="20"/>
      <c r="AC12" s="104">
        <f aca="true" t="shared" si="42" ref="AC12:AC27">IF(Z12&gt;0,ROUND((1000*AB$5)/Z12,1),IF(Z12="","",0))</f>
        <v>943.1</v>
      </c>
      <c r="AD12" s="104">
        <f aca="true" t="shared" si="43" ref="AD12:AD27">IF(AC12&lt;&gt;"",AC12-AB12,-AB12)</f>
        <v>943.1</v>
      </c>
      <c r="AE12" s="105">
        <f ca="1">IF(OR(Z12&lt;&gt;"",AB12&lt;&gt;""),RANK(AD12,AD$11:INDIRECT(AD$7,FALSE)),"")</f>
        <v>4</v>
      </c>
      <c r="AF12" s="106"/>
      <c r="AG12" s="107">
        <f aca="true" t="shared" si="44" ref="AG12:AG27">IF(OR(Z12&lt;&gt;"",AB12&lt;&gt;""),AD12,"")</f>
        <v>943.1</v>
      </c>
      <c r="AH12" s="107">
        <f aca="true" t="shared" si="45" ref="AH12:AH27">IF(AD12,AD12,0)</f>
        <v>943.1</v>
      </c>
      <c r="AI12" s="108">
        <f ca="1">IF(OR(Z12&lt;&gt;"",AB12&lt;&gt;""),RANK(AH12,AH$11:INDIRECT(AH$7,FALSE)),"")</f>
        <v>4</v>
      </c>
      <c r="AJ12" s="109"/>
      <c r="AK12" s="4">
        <v>54.35</v>
      </c>
      <c r="AL12" s="103">
        <f t="shared" si="2"/>
        <v>54.35</v>
      </c>
      <c r="AM12" s="20"/>
      <c r="AN12" s="104">
        <f aca="true" t="shared" si="46" ref="AN12:AN27">IF(AK12&gt;0,ROUND((1000*AM$5)/AK12,1),IF(AK12="","",0))</f>
        <v>959.2</v>
      </c>
      <c r="AO12" s="104">
        <f aca="true" t="shared" si="47" ref="AO12:AO27">IF(AN12&lt;&gt;"",AN12-AM12,-AM12)</f>
        <v>959.2</v>
      </c>
      <c r="AP12" s="105">
        <f ca="1">IF(OR(AK12&lt;&gt;"",AM12&lt;&gt;""),RANK(AO12,AO$11:INDIRECT(AO$7,FALSE)),"")</f>
        <v>3</v>
      </c>
      <c r="AQ12" s="106"/>
      <c r="AR12" s="107">
        <f t="shared" si="3"/>
        <v>1902.3000000000002</v>
      </c>
      <c r="AS12" s="110">
        <f>IF(AND($F$8&lt;3,AR12&lt;&gt;""),HLOOKUP(MATCH(EQ12,EZ12:FA12,0),Discards,1,FALSE),"")</f>
      </c>
      <c r="AT12" s="107">
        <f t="shared" si="4"/>
        <v>1902.3000000000002</v>
      </c>
      <c r="AU12" s="108">
        <f ca="1">IF(OR(AK12&lt;&gt;"",AM12&lt;&gt;""),RANK(AT12,AT$11:INDIRECT(AT$7,FALSE)),"")</f>
        <v>2</v>
      </c>
      <c r="AV12" s="109"/>
      <c r="AW12" s="4">
        <v>59.2</v>
      </c>
      <c r="AX12" s="103">
        <f t="shared" si="5"/>
        <v>59.2</v>
      </c>
      <c r="AY12" s="20"/>
      <c r="AZ12" s="104">
        <f aca="true" t="shared" si="48" ref="AZ12:AZ27">IF(AW12&gt;0,ROUND((1000*AY$5)/AW12,1),IF(AW12="","",0))</f>
        <v>796.6</v>
      </c>
      <c r="BA12" s="104">
        <f aca="true" t="shared" si="49" ref="BA12:BA27">IF(AZ12&lt;&gt;"",AZ12-AY12,-AY12)</f>
        <v>796.6</v>
      </c>
      <c r="BB12" s="105">
        <f ca="1">IF(OR(AW12&lt;&gt;"",AY12&lt;&gt;""),RANK(BA12,BA$11:INDIRECT(BA$7,FALSE)),"")</f>
        <v>19</v>
      </c>
      <c r="BC12" s="106"/>
      <c r="BD12" s="107">
        <f t="shared" si="6"/>
        <v>2698.9</v>
      </c>
      <c r="BE12" s="110">
        <f>IF(AND($F$8&lt;4,BD12&lt;&gt;""),HLOOKUP(MATCH(ER12,EZ12:FB12,0),Discards,1,FALSE),"")</f>
      </c>
      <c r="BF12" s="107">
        <f aca="true" t="shared" si="50" ref="BF12:BF27">IF(OR(AW12&lt;&gt;"",AY12&lt;&gt;""),BD12,0)</f>
        <v>2698.9</v>
      </c>
      <c r="BG12" s="108">
        <f ca="1">IF(OR(AW12&lt;&gt;"",AY12&lt;&gt;""),RANK(BF12,BF$11:INDIRECT(BF$7,FALSE)),"")</f>
        <v>3</v>
      </c>
      <c r="BH12" s="109"/>
      <c r="BI12" s="4">
        <v>52.1</v>
      </c>
      <c r="BJ12" s="103">
        <f t="shared" si="7"/>
        <v>52.1</v>
      </c>
      <c r="BK12" s="20"/>
      <c r="BL12" s="104">
        <f aca="true" t="shared" si="51" ref="BL12:BL27">IF(BI12&gt;0,ROUND((1000*BK$5)/BI12,1),IF(BI12="","",0))</f>
        <v>942.2</v>
      </c>
      <c r="BM12" s="104">
        <f aca="true" t="shared" si="52" ref="BM12:BM27">IF(BL12&lt;&gt;"",BL12-BK12,-BK12)</f>
        <v>942.2</v>
      </c>
      <c r="BN12" s="105">
        <f ca="1">IF(OR(BI12&lt;&gt;"",BK12&lt;&gt;""),RANK(BM12,BM$11:INDIRECT(BM$7,FALSE)),"")</f>
        <v>4</v>
      </c>
      <c r="BO12" s="106"/>
      <c r="BP12" s="107">
        <f t="shared" si="8"/>
        <v>3641.1000000000004</v>
      </c>
      <c r="BQ12" s="110">
        <f>IF(AND($F$8&lt;5,BP12&lt;&gt;""),HLOOKUP(MATCH(ES12,EZ12:FC12,0),Discards,1,FALSE),"")</f>
      </c>
      <c r="BR12" s="107">
        <f aca="true" t="shared" si="53" ref="BR12:BR27">IF(OR(BI12&lt;&gt;"",BK12&lt;&gt;""),BP12,0)</f>
        <v>3641.1000000000004</v>
      </c>
      <c r="BS12" s="108">
        <f ca="1">IF(OR(BI12&lt;&gt;"",BK12&lt;&gt;""),RANK(BR12,BR$11:INDIRECT(BR$7,FALSE)),"")</f>
        <v>2</v>
      </c>
      <c r="BT12" s="109"/>
      <c r="BU12" s="4">
        <v>51.7</v>
      </c>
      <c r="BV12" s="103">
        <f t="shared" si="9"/>
        <v>51.7</v>
      </c>
      <c r="BW12" s="20"/>
      <c r="BX12" s="104">
        <f aca="true" t="shared" si="54" ref="BX12:BX27">IF(BU12&gt;0,ROUND((1000*BW$5)/BU12,1),IF(BU12="","",0))</f>
        <v>884.5</v>
      </c>
      <c r="BY12" s="104">
        <f aca="true" t="shared" si="55" ref="BY12:BY27">IF(BX12&lt;&gt;"",BX12-BW12,-BW12)</f>
        <v>884.5</v>
      </c>
      <c r="BZ12" s="105">
        <f ca="1">IF(OR(BU12&lt;&gt;"",BW12&lt;&gt;""),RANK(BY12,BY$11:INDIRECT(BY$7,FALSE)),"")</f>
        <v>8</v>
      </c>
      <c r="CA12" s="106"/>
      <c r="CB12" s="107">
        <f t="shared" si="10"/>
        <v>3729.0000000000005</v>
      </c>
      <c r="CC12" s="110">
        <f>IF(AND($F$8&lt;6,CB12&lt;&gt;""),HLOOKUP(MATCH(ET12,EZ12:FD12,0),Discards,1,FALSE),"")</f>
        <v>3</v>
      </c>
      <c r="CD12" s="107">
        <f aca="true" t="shared" si="56" ref="CD12:CD27">IF(OR(BU12&lt;&gt;"",BW12&lt;&gt;""),CB12,0)</f>
        <v>3729.0000000000005</v>
      </c>
      <c r="CE12" s="108">
        <f ca="1">IF(OR(BU12&lt;&gt;"",BW12&lt;&gt;""),RANK(CD12,CD$11:INDIRECT(CD$7,FALSE)),"")</f>
        <v>3</v>
      </c>
      <c r="CF12" s="109"/>
      <c r="CG12" s="4">
        <v>59.41</v>
      </c>
      <c r="CH12" s="103">
        <f t="shared" si="11"/>
        <v>59.41</v>
      </c>
      <c r="CI12" s="20"/>
      <c r="CJ12" s="104">
        <f aca="true" t="shared" si="57" ref="CJ12:CJ27">IF(CG12&gt;0,ROUND((1000*CI$5)/CG12,1),IF(CG12="","",0))</f>
        <v>830.7</v>
      </c>
      <c r="CK12" s="104">
        <f aca="true" t="shared" si="58" ref="CK12:CK27">IF(CJ12&lt;&gt;"",CJ12-CI12,-CI12)</f>
        <v>830.7</v>
      </c>
      <c r="CL12" s="105">
        <f ca="1">IF(OR(CG12&lt;&gt;"",CI12&lt;&gt;""),RANK(CK12,CK$11:INDIRECT(CK$7,FALSE)),"")</f>
        <v>15</v>
      </c>
      <c r="CM12" s="106"/>
      <c r="CN12" s="107">
        <f t="shared" si="12"/>
        <v>4559.7</v>
      </c>
      <c r="CO12" s="110">
        <f>IF(AND($F$8&lt;7,CN12&lt;&gt;""),HLOOKUP(MATCH(EU12,EZ12:FE12,0),Discards,1,FALSE),"")</f>
        <v>3</v>
      </c>
      <c r="CP12" s="107">
        <f aca="true" t="shared" si="59" ref="CP12:CP27">IF(OR(CG12&lt;&gt;"",CI12&lt;&gt;""),CN12,0)</f>
        <v>4559.7</v>
      </c>
      <c r="CQ12" s="108">
        <f ca="1">IF(OR(CG12&lt;&gt;"",CI12&lt;&gt;""),RANK(CP12,CP$11:INDIRECT(CP$7,FALSE)),"")</f>
        <v>3</v>
      </c>
      <c r="CR12" s="109"/>
      <c r="CS12" s="4">
        <v>62.57</v>
      </c>
      <c r="CT12" s="103">
        <f t="shared" si="13"/>
        <v>62.57</v>
      </c>
      <c r="CU12" s="20"/>
      <c r="CV12" s="104">
        <f aca="true" t="shared" si="60" ref="CV12:CV27">IF(CS12&gt;0,ROUND((1000*CU$5)/CS12,1),IF(CS12="","",0))</f>
        <v>639</v>
      </c>
      <c r="CW12" s="104">
        <f aca="true" t="shared" si="61" ref="CW12:CW27">IF(CV12&lt;&gt;"",CV12-CU12,-CU12)</f>
        <v>639</v>
      </c>
      <c r="CX12" s="105">
        <f ca="1">IF(OR(CS12&lt;&gt;"",CU12&lt;&gt;""),RANK(CW12,CW$11:INDIRECT(CW$7,FALSE)),"")</f>
        <v>23</v>
      </c>
      <c r="CY12" s="106"/>
      <c r="CZ12" s="107">
        <f t="shared" si="14"/>
        <v>5356.3</v>
      </c>
      <c r="DA12" s="110">
        <f>IF(AND($F$8&lt;8,CZ12&lt;&gt;""),HLOOKUP(MATCH(EV12,EZ12:FF12,0),Discards,1,FALSE),"")</f>
        <v>7</v>
      </c>
      <c r="DB12" s="107">
        <f aca="true" t="shared" si="62" ref="DB12:DB27">IF(OR(CS12&lt;&gt;"",CU12&lt;&gt;""),CZ12,0)</f>
        <v>5356.3</v>
      </c>
      <c r="DC12" s="108">
        <f ca="1">IF(OR(CS12&lt;&gt;"",CU12&lt;&gt;""),RANK(DB12,DB$11:INDIRECT(DB$7,FALSE)),"")</f>
        <v>6</v>
      </c>
      <c r="DD12" s="109"/>
      <c r="DE12" s="4">
        <v>48.85</v>
      </c>
      <c r="DF12" s="103">
        <f t="shared" si="15"/>
        <v>48.85</v>
      </c>
      <c r="DG12" s="20"/>
      <c r="DH12" s="104">
        <f aca="true" t="shared" si="63" ref="DH12:DH27">IF(DE12&gt;0,ROUND((1000*DG$5)/DE12,1),IF(DE12="","",0))</f>
        <v>883.3</v>
      </c>
      <c r="DI12" s="104">
        <f aca="true" t="shared" si="64" ref="DI12:DI27">IF(DH12&lt;&gt;"",DH12-DG12,-DG12)</f>
        <v>883.3</v>
      </c>
      <c r="DJ12" s="105">
        <f ca="1">IF(OR(DE12&lt;&gt;"",DG12&lt;&gt;""),RANK(DI12,DI$11:INDIRECT(DI$7,FALSE)),"")</f>
        <v>5</v>
      </c>
      <c r="DK12" s="106"/>
      <c r="DL12" s="107">
        <f t="shared" si="16"/>
        <v>6239.6</v>
      </c>
      <c r="DM12" s="110">
        <f>IF(AND($F$8&lt;9,DL12&lt;&gt;""),HLOOKUP(MATCH(EW12,EZ12:FG12,0),Discards,1,FALSE),"")</f>
        <v>7</v>
      </c>
      <c r="DN12" s="107">
        <f aca="true" t="shared" si="65" ref="DN12:DN27">IF(OR(DE12&lt;&gt;"",DG12&lt;&gt;""),DL12,0)</f>
        <v>6239.6</v>
      </c>
      <c r="DO12" s="108">
        <f ca="1">IF(OR(DE12&lt;&gt;"",DG12&lt;&gt;""),RANK(DN12,DN$11:INDIRECT(DN$7,FALSE)),"")</f>
        <v>5</v>
      </c>
      <c r="DP12" s="109"/>
      <c r="DQ12" s="4">
        <v>54.42</v>
      </c>
      <c r="DR12" s="103">
        <f t="shared" si="17"/>
        <v>54.42</v>
      </c>
      <c r="DS12" s="20"/>
      <c r="DT12" s="104">
        <f aca="true" t="shared" si="66" ref="DT12:DT27">IF(DQ12&gt;0,ROUND((1000*DS$5)/DQ12,1),IF(DQ12="","",0))</f>
        <v>800.4</v>
      </c>
      <c r="DU12" s="104">
        <f aca="true" t="shared" si="67" ref="DU12:DU27">IF(DT12&lt;&gt;"",DT12-DS12,-DS12)</f>
        <v>800.4</v>
      </c>
      <c r="DV12" s="105">
        <f ca="1">IF(OR(DQ12&lt;&gt;"",DS12&lt;&gt;""),RANK(DU12,DU$11:INDIRECT(DU$7,FALSE)),"")</f>
        <v>19</v>
      </c>
      <c r="DW12" s="106"/>
      <c r="DX12" s="107">
        <f t="shared" si="18"/>
        <v>7040</v>
      </c>
      <c r="DY12" s="110">
        <f>IF(AND($F$8&lt;10,DX12&lt;&gt;""),HLOOKUP(MATCH(EX12,EZ12:FH12,0),Discards,1,FALSE),"")</f>
        <v>7</v>
      </c>
      <c r="DZ12" s="107">
        <f aca="true" t="shared" si="68" ref="DZ12:DZ27">IF(OR(DQ12&lt;&gt;"",DS12&lt;&gt;""),DX12,0)</f>
        <v>7040</v>
      </c>
      <c r="EA12" s="108">
        <f ca="1">IF(OR(DQ12&lt;&gt;"",DS12&lt;&gt;""),RANK(DZ12,DZ$11:INDIRECT(DZ$7,FALSE)),"")</f>
        <v>6</v>
      </c>
      <c r="EB12" s="109"/>
      <c r="EC12" s="4"/>
      <c r="ED12" s="103">
        <f t="shared" si="19"/>
      </c>
      <c r="EE12" s="20"/>
      <c r="EF12" s="104">
        <f aca="true" t="shared" si="69" ref="EF12:EF27">IF(EC12&gt;0,ROUND((1000*EE$5)/EC12,1),IF(EC12="","",0))</f>
      </c>
      <c r="EG12" s="104">
        <f aca="true" t="shared" si="70" ref="EG12:EG27">IF(EF12&lt;&gt;"",EF12-EE12,-EE12)</f>
        <v>0</v>
      </c>
      <c r="EH12" s="105">
        <f ca="1">IF(OR(EC12&lt;&gt;"",EE12&lt;&gt;""),RANK(EG12,EG$11:INDIRECT(EG$7,FALSE)),"")</f>
      </c>
      <c r="EI12" s="106"/>
      <c r="EJ12" s="107">
        <f t="shared" si="20"/>
      </c>
      <c r="EK12" s="110">
        <f>IF(AND($F$8&lt;11,EJ12&lt;&gt;""),HLOOKUP(MATCH(EY12,EZ12:FI12,0),Discards,1,FALSE),"")</f>
      </c>
      <c r="EL12" s="107">
        <f aca="true" t="shared" si="71" ref="EL12:EL27">IF(OR(EC12&lt;&gt;"",EE12&lt;&gt;""),EJ12,0)</f>
        <v>0</v>
      </c>
      <c r="EM12" s="108">
        <f ca="1">IF(OR(EC12&lt;&gt;"",EE12&lt;&gt;""),RANK(EL12,EL$11:INDIRECT(EL$7,FALSE)),"")</f>
      </c>
      <c r="EN12" s="111"/>
      <c r="EP12" s="112">
        <f aca="true" t="shared" si="72" ref="EP12:EP27">IF(C12&lt;&gt;"",1,0)</f>
        <v>1</v>
      </c>
      <c r="EQ12" s="28">
        <f>MIN($EZ12:FA12)</f>
        <v>943.1</v>
      </c>
      <c r="ER12" s="28">
        <f>MIN($EZ12:FB12)</f>
        <v>796.6</v>
      </c>
      <c r="ES12" s="28">
        <f>MIN($EZ12:FC12)</f>
        <v>796.6</v>
      </c>
      <c r="ET12" s="28">
        <f>MIN($EZ12:FD12)</f>
        <v>796.6</v>
      </c>
      <c r="EU12" s="28">
        <f>MIN($EZ12:FE12)</f>
        <v>796.6</v>
      </c>
      <c r="EV12" s="28">
        <f>MIN($EZ12:FF12)</f>
        <v>639</v>
      </c>
      <c r="EW12" s="28">
        <f>MIN($EZ12:FG12)</f>
        <v>639</v>
      </c>
      <c r="EX12" s="28">
        <f>MIN($EZ12:FH12)</f>
        <v>639</v>
      </c>
      <c r="EY12" s="28">
        <f>MIN($EZ12:FI12)</f>
        <v>639</v>
      </c>
      <c r="EZ12" s="28">
        <f t="shared" si="21"/>
        <v>943.1</v>
      </c>
      <c r="FA12" s="28">
        <f t="shared" si="22"/>
        <v>959.2</v>
      </c>
      <c r="FB12" s="28">
        <f t="shared" si="23"/>
        <v>796.6</v>
      </c>
      <c r="FC12" s="28">
        <f t="shared" si="24"/>
        <v>942.2</v>
      </c>
      <c r="FD12" s="28">
        <f t="shared" si="25"/>
        <v>884.5</v>
      </c>
      <c r="FE12" s="28">
        <f t="shared" si="26"/>
        <v>830.7</v>
      </c>
      <c r="FF12" s="28">
        <f t="shared" si="27"/>
        <v>639</v>
      </c>
      <c r="FG12" s="28">
        <f t="shared" si="28"/>
        <v>883.3</v>
      </c>
      <c r="FH12" s="28">
        <f t="shared" si="29"/>
        <v>800.4</v>
      </c>
      <c r="FI12" s="28">
        <f t="shared" si="30"/>
      </c>
      <c r="FL12" s="26">
        <f aca="true" t="shared" si="73" ref="FL12:FL27">IF(H12&lt;&gt;"",(CODE(MID(H12,1,1))*1000)*1000,255000000)</f>
        <v>255000000</v>
      </c>
      <c r="FM12" s="26">
        <f>IF(H12&lt;&gt;"",IF(LEN(H12)&gt;1,CODE(MID(H12,2,1))*1000,255000),255000)</f>
        <v>255000</v>
      </c>
      <c r="FN12" s="26">
        <f>IF(H12&lt;&gt;"",IF(LEN(H12)&gt;2,CODE(MID(H12,3,1)),255),255)</f>
        <v>255</v>
      </c>
      <c r="FO12" s="26">
        <f>IF(C12&lt;&gt;"",SUM(FL12:FN12),0)</f>
        <v>255255255</v>
      </c>
      <c r="FP12" s="26">
        <f ca="1">IF(FO12&gt;0,SMALL($FO$11:INDIRECT($FO$7,FALSE),A12),0)</f>
        <v>255255255</v>
      </c>
      <c r="FQ12" s="26">
        <f aca="true" t="shared" si="74" ref="FQ12:FQ27">INT(FP12/1000000)</f>
        <v>255</v>
      </c>
      <c r="FR12" s="26">
        <f aca="true" t="shared" si="75" ref="FR12:FR27">INT(FP12/1000)-FQ12*1000</f>
        <v>255</v>
      </c>
      <c r="FS12" s="26">
        <f aca="true" t="shared" si="76" ref="FS12:FS27">FP12-FQ12*1000000-FR12*1000</f>
        <v>255</v>
      </c>
      <c r="FT12" s="26">
        <f aca="true" t="shared" si="77" ref="FT12:FT27">IF(FP12=255255255,"",IF(FP12&gt;0,CHAR(FQ12)&amp;CHAR(FR12)&amp;CHAR(FS12),""))</f>
      </c>
      <c r="FU12" s="26">
        <f aca="true" t="shared" si="78" ref="FU12:FU27">COUNTIF($FT$11:$FT$34,FT12)</f>
        <v>24</v>
      </c>
      <c r="FV12" s="28">
        <f t="shared" si="31"/>
      </c>
      <c r="FW12" s="26">
        <f>IF(FT12&lt;&gt;FT11,FT12,"")</f>
      </c>
      <c r="FX12" s="28">
        <f aca="true" t="shared" si="79" ref="FX12:FX27">IF(FW12&lt;&gt;"",FV12,"")</f>
      </c>
      <c r="FY12" s="26">
        <f ca="1">IF(FX12&lt;&gt;"",RANK(FX12,FX$11:INDIRECT(FX$7,FALSE)),"")</f>
      </c>
      <c r="FZ12" s="26">
        <f aca="true" t="shared" si="80" ref="FZ12:FZ27">IF(H12&lt;&gt;"",MATCH(H12,$FW$11:$FW$62,0),"")</f>
      </c>
      <c r="GA12" s="26">
        <f aca="true" t="shared" si="81" ref="GA12:GA62">IF(H12&lt;&gt;"",VLOOKUP(FZ12,$A$11:$FY$62,181,FALSE),"")</f>
      </c>
      <c r="GC12" s="27">
        <f t="shared" si="32"/>
      </c>
      <c r="GD12" s="27">
        <f t="shared" si="33"/>
      </c>
      <c r="GE12" s="27">
        <f aca="true" t="shared" si="82" ref="GE12:GE43">IF(AND(GD12&lt;&gt;"",RIGHT(GD12,9)&lt;&gt;RIGHT(GD11,9)),GD12,"")</f>
      </c>
      <c r="GF12" s="27">
        <f aca="true" t="shared" si="83" ref="GF12:GF27">IF(A12&lt;=$GF$8,LARGE($GE$11:$GE$62,A12),"")</f>
      </c>
      <c r="GG12" s="27">
        <f aca="true" t="shared" si="84" ref="GG12:GG27">IF(GF12&lt;&gt;"",VALUE(RIGHT(GF12,9)),0)</f>
        <v>0</v>
      </c>
      <c r="GH12" s="26">
        <f aca="true" t="shared" si="85" ref="GH12:GH27">INT(GG12/1000000)</f>
        <v>0</v>
      </c>
      <c r="GI12" s="26">
        <f aca="true" t="shared" si="86" ref="GI12:GI27">INT(GG12/1000)-GH12*1000</f>
        <v>0</v>
      </c>
      <c r="GJ12" s="26">
        <f aca="true" t="shared" si="87" ref="GJ12:GJ27">GG12-GH12*1000000-GI12*1000</f>
        <v>0</v>
      </c>
      <c r="GK12" s="26">
        <f aca="true" t="shared" si="88" ref="GK12:GK27">IF(GG12=255255255,"",IF(GG12&gt;0,CHAR(GH12)&amp;CHAR(GI12)&amp;CHAR(GJ12),""))</f>
      </c>
      <c r="GL12" s="28">
        <f aca="true" t="shared" si="89" ref="GL12:GL27">IF(GK12&lt;&gt;"",(GF12-GG12)/10000000000-1000,"")</f>
      </c>
      <c r="GM12" s="26">
        <f aca="true" t="shared" si="90" ref="GM12:GM27">IF(GL12&lt;&gt;"",RANK(GL12,$GL$11:$GL$62),"")</f>
      </c>
    </row>
    <row r="13" spans="1:195" ht="12.75">
      <c r="A13" s="16">
        <f aca="true" t="shared" si="91" ref="A13:A28">A12+1</f>
        <v>3</v>
      </c>
      <c r="B13" s="17"/>
      <c r="C13" s="18" t="s">
        <v>101</v>
      </c>
      <c r="D13" s="19" t="s">
        <v>102</v>
      </c>
      <c r="E13" s="18" t="s">
        <v>103</v>
      </c>
      <c r="F13" s="18" t="s">
        <v>13</v>
      </c>
      <c r="G13" s="148"/>
      <c r="H13" s="122">
        <f t="shared" si="34"/>
      </c>
      <c r="I13" s="30">
        <f t="shared" si="35"/>
        <v>6782.200000000001</v>
      </c>
      <c r="J13" s="30">
        <f>AD13+AO13+BA13+BM13+BY13+CK13+CW13+DI13+DU13+EG13-(MIN(EZ13:FI13)*$EY$2)</f>
        <v>6782.200000000001</v>
      </c>
      <c r="K13" s="139">
        <f ca="1">IF(I13&lt;&gt;"",RANK(I13,J$11:INDIRECT(J$7,FALSE)),"")</f>
        <v>14</v>
      </c>
      <c r="L13" s="102">
        <f t="shared" si="36"/>
      </c>
      <c r="M13" s="102">
        <f t="shared" si="37"/>
        <v>0</v>
      </c>
      <c r="N13" s="51">
        <f t="shared" si="1"/>
      </c>
      <c r="O13" s="150"/>
      <c r="P13" s="151">
        <f t="shared" si="38"/>
      </c>
      <c r="Q13" s="152"/>
      <c r="R13" s="153">
        <f t="shared" si="39"/>
      </c>
      <c r="S13" s="153">
        <f t="shared" si="40"/>
        <v>0</v>
      </c>
      <c r="T13" s="154">
        <f ca="1">IF(OR(O13&lt;&gt;"",Q13&lt;&gt;""),RANK(S13,S$11:INDIRECT(S$7,FALSE)),"")</f>
      </c>
      <c r="U13" s="155"/>
      <c r="V13" s="156"/>
      <c r="W13" s="156"/>
      <c r="X13" s="157"/>
      <c r="Y13" s="158"/>
      <c r="Z13" s="227">
        <v>57.61</v>
      </c>
      <c r="AA13" s="103">
        <f t="shared" si="41"/>
        <v>57.61</v>
      </c>
      <c r="AB13" s="20"/>
      <c r="AC13" s="104">
        <f t="shared" si="42"/>
        <v>949.5</v>
      </c>
      <c r="AD13" s="104">
        <f t="shared" si="43"/>
        <v>949.5</v>
      </c>
      <c r="AE13" s="105">
        <f ca="1">IF(OR(Z13&lt;&gt;"",AB13&lt;&gt;""),RANK(AD13,AD$11:INDIRECT(AD$7,FALSE)),"")</f>
        <v>2</v>
      </c>
      <c r="AF13" s="106"/>
      <c r="AG13" s="107">
        <f t="shared" si="44"/>
        <v>949.5</v>
      </c>
      <c r="AH13" s="107">
        <f t="shared" si="45"/>
        <v>949.5</v>
      </c>
      <c r="AI13" s="108">
        <f ca="1">IF(OR(Z13&lt;&gt;"",AB13&lt;&gt;""),RANK(AH13,AH$11:INDIRECT(AH$7,FALSE)),"")</f>
        <v>2</v>
      </c>
      <c r="AJ13" s="109"/>
      <c r="AK13" s="4">
        <v>61.77</v>
      </c>
      <c r="AL13" s="103">
        <f t="shared" si="2"/>
        <v>61.77</v>
      </c>
      <c r="AM13" s="20"/>
      <c r="AN13" s="104">
        <f t="shared" si="46"/>
        <v>843.9</v>
      </c>
      <c r="AO13" s="104">
        <f t="shared" si="47"/>
        <v>843.9</v>
      </c>
      <c r="AP13" s="105">
        <f ca="1">IF(OR(AK13&lt;&gt;"",AM13&lt;&gt;""),RANK(AO13,AO$11:INDIRECT(AO$7,FALSE)),"")</f>
        <v>11</v>
      </c>
      <c r="AQ13" s="106"/>
      <c r="AR13" s="107">
        <f t="shared" si="3"/>
        <v>1793.4</v>
      </c>
      <c r="AS13" s="110">
        <f>IF(AND($F$8&lt;3,AR13&lt;&gt;""),HLOOKUP(MATCH(EQ13,EZ13:FA13,0),Discards,1,FALSE),"")</f>
      </c>
      <c r="AT13" s="107">
        <f t="shared" si="4"/>
        <v>1793.4</v>
      </c>
      <c r="AU13" s="108">
        <f ca="1">IF(OR(AK13&lt;&gt;"",AM13&lt;&gt;""),RANK(AT13,AT$11:INDIRECT(AT$7,FALSE)),"")</f>
        <v>5</v>
      </c>
      <c r="AV13" s="109"/>
      <c r="AW13" s="4">
        <v>57.6</v>
      </c>
      <c r="AX13" s="103">
        <f t="shared" si="5"/>
        <v>57.6</v>
      </c>
      <c r="AY13" s="20"/>
      <c r="AZ13" s="104">
        <f t="shared" si="48"/>
        <v>818.8</v>
      </c>
      <c r="BA13" s="104">
        <f t="shared" si="49"/>
        <v>818.8</v>
      </c>
      <c r="BB13" s="105">
        <f ca="1">IF(OR(AW13&lt;&gt;"",AY13&lt;&gt;""),RANK(BA13,BA$11:INDIRECT(BA$7,FALSE)),"")</f>
        <v>13</v>
      </c>
      <c r="BC13" s="106"/>
      <c r="BD13" s="107">
        <f t="shared" si="6"/>
        <v>2612.2</v>
      </c>
      <c r="BE13" s="110">
        <f>IF(AND($F$8&lt;4,BD13&lt;&gt;""),HLOOKUP(MATCH(ER13,EZ13:FB13,0),Discards,1,FALSE),"")</f>
      </c>
      <c r="BF13" s="107">
        <f t="shared" si="50"/>
        <v>2612.2</v>
      </c>
      <c r="BG13" s="108">
        <f ca="1">IF(OR(AW13&lt;&gt;"",AY13&lt;&gt;""),RANK(BF13,BF$11:INDIRECT(BF$7,FALSE)),"")</f>
        <v>6</v>
      </c>
      <c r="BH13" s="109"/>
      <c r="BI13" s="4">
        <v>51.03</v>
      </c>
      <c r="BJ13" s="103">
        <f t="shared" si="7"/>
        <v>51.03</v>
      </c>
      <c r="BK13" s="20"/>
      <c r="BL13" s="104">
        <f t="shared" si="51"/>
        <v>962</v>
      </c>
      <c r="BM13" s="104">
        <f t="shared" si="52"/>
        <v>962</v>
      </c>
      <c r="BN13" s="105">
        <f ca="1">IF(OR(BI13&lt;&gt;"",BK13&lt;&gt;""),RANK(BM13,BM$11:INDIRECT(BM$7,FALSE)),"")</f>
        <v>2</v>
      </c>
      <c r="BO13" s="106"/>
      <c r="BP13" s="107">
        <f t="shared" si="8"/>
        <v>3574.2</v>
      </c>
      <c r="BQ13" s="110">
        <f>IF(AND($F$8&lt;5,BP13&lt;&gt;""),HLOOKUP(MATCH(ES13,EZ13:FC13,0),Discards,1,FALSE),"")</f>
      </c>
      <c r="BR13" s="107">
        <f t="shared" si="53"/>
        <v>3574.2</v>
      </c>
      <c r="BS13" s="108">
        <f ca="1">IF(OR(BI13&lt;&gt;"",BK13&lt;&gt;""),RANK(BR13,BR$11:INDIRECT(BR$7,FALSE)),"")</f>
        <v>6</v>
      </c>
      <c r="BT13" s="109"/>
      <c r="BU13" s="4">
        <v>61.38</v>
      </c>
      <c r="BV13" s="103">
        <f t="shared" si="9"/>
        <v>61.38</v>
      </c>
      <c r="BW13" s="20"/>
      <c r="BX13" s="104">
        <f t="shared" si="54"/>
        <v>745</v>
      </c>
      <c r="BY13" s="104">
        <f t="shared" si="55"/>
        <v>745</v>
      </c>
      <c r="BZ13" s="105">
        <f ca="1">IF(OR(BU13&lt;&gt;"",BW13&lt;&gt;""),RANK(BY13,BY$11:INDIRECT(BY$7,FALSE)),"")</f>
        <v>22</v>
      </c>
      <c r="CA13" s="106"/>
      <c r="CB13" s="107">
        <f t="shared" si="10"/>
        <v>3574.2</v>
      </c>
      <c r="CC13" s="110">
        <f>IF(AND($F$8&lt;6,CB13&lt;&gt;""),HLOOKUP(MATCH(ET13,EZ13:FD13,0),Discards,1,FALSE),"")</f>
        <v>5</v>
      </c>
      <c r="CD13" s="107">
        <f t="shared" si="56"/>
        <v>3574.2</v>
      </c>
      <c r="CE13" s="108">
        <f ca="1">IF(OR(BU13&lt;&gt;"",BW13&lt;&gt;""),RANK(CD13,CD$11:INDIRECT(CD$7,FALSE)),"")</f>
        <v>8</v>
      </c>
      <c r="CF13" s="109"/>
      <c r="CG13" s="4">
        <v>56.51</v>
      </c>
      <c r="CH13" s="103">
        <f t="shared" si="11"/>
        <v>56.51</v>
      </c>
      <c r="CI13" s="20"/>
      <c r="CJ13" s="104">
        <f t="shared" si="57"/>
        <v>873.3</v>
      </c>
      <c r="CK13" s="104">
        <f t="shared" si="58"/>
        <v>873.3</v>
      </c>
      <c r="CL13" s="105">
        <f ca="1">IF(OR(CG13&lt;&gt;"",CI13&lt;&gt;""),RANK(CK13,CK$11:INDIRECT(CK$7,FALSE)),"")</f>
        <v>11</v>
      </c>
      <c r="CM13" s="106"/>
      <c r="CN13" s="107">
        <f t="shared" si="12"/>
        <v>4447.5</v>
      </c>
      <c r="CO13" s="110">
        <f>IF(AND($F$8&lt;7,CN13&lt;&gt;""),HLOOKUP(MATCH(EU13,EZ13:FE13,0),Discards,1,FALSE),"")</f>
        <v>5</v>
      </c>
      <c r="CP13" s="107">
        <f t="shared" si="59"/>
        <v>4447.5</v>
      </c>
      <c r="CQ13" s="108">
        <f ca="1">IF(OR(CG13&lt;&gt;"",CI13&lt;&gt;""),RANK(CP13,CP$11:INDIRECT(CP$7,FALSE)),"")</f>
        <v>9</v>
      </c>
      <c r="CR13" s="109"/>
      <c r="CS13" s="4">
        <v>61.7</v>
      </c>
      <c r="CT13" s="103">
        <f t="shared" si="13"/>
        <v>61.7</v>
      </c>
      <c r="CU13" s="20"/>
      <c r="CV13" s="104">
        <f t="shared" si="60"/>
        <v>648</v>
      </c>
      <c r="CW13" s="104">
        <f t="shared" si="61"/>
        <v>648</v>
      </c>
      <c r="CX13" s="105">
        <f ca="1">IF(OR(CS13&lt;&gt;"",CU13&lt;&gt;""),RANK(CW13,CW$11:INDIRECT(CW$7,FALSE)),"")</f>
        <v>22</v>
      </c>
      <c r="CY13" s="106"/>
      <c r="CZ13" s="107">
        <f t="shared" si="14"/>
        <v>5192.5</v>
      </c>
      <c r="DA13" s="110">
        <f>IF(AND($F$8&lt;8,CZ13&lt;&gt;""),HLOOKUP(MATCH(EV13,EZ13:FF13,0),Discards,1,FALSE),"")</f>
        <v>7</v>
      </c>
      <c r="DB13" s="107">
        <f t="shared" si="62"/>
        <v>5192.5</v>
      </c>
      <c r="DC13" s="108">
        <f ca="1">IF(OR(CS13&lt;&gt;"",CU13&lt;&gt;""),RANK(DB13,DB$11:INDIRECT(DB$7,FALSE)),"")</f>
        <v>10</v>
      </c>
      <c r="DD13" s="109"/>
      <c r="DE13" s="4">
        <v>54.79</v>
      </c>
      <c r="DF13" s="103">
        <f t="shared" si="15"/>
        <v>54.79</v>
      </c>
      <c r="DG13" s="20"/>
      <c r="DH13" s="104">
        <f t="shared" si="63"/>
        <v>787.6</v>
      </c>
      <c r="DI13" s="104">
        <f t="shared" si="64"/>
        <v>787.6</v>
      </c>
      <c r="DJ13" s="105">
        <f ca="1">IF(OR(DE13&lt;&gt;"",DG13&lt;&gt;""),RANK(DI13,DI$11:INDIRECT(DI$7,FALSE)),"")</f>
        <v>18</v>
      </c>
      <c r="DK13" s="106"/>
      <c r="DL13" s="107">
        <f t="shared" si="16"/>
        <v>5980.1</v>
      </c>
      <c r="DM13" s="110">
        <f>IF(AND($F$8&lt;9,DL13&lt;&gt;""),HLOOKUP(MATCH(EW13,EZ13:FG13,0),Discards,1,FALSE),"")</f>
        <v>7</v>
      </c>
      <c r="DN13" s="107">
        <f t="shared" si="65"/>
        <v>5980.1</v>
      </c>
      <c r="DO13" s="108">
        <f ca="1">IF(OR(DE13&lt;&gt;"",DG13&lt;&gt;""),RANK(DN13,DN$11:INDIRECT(DN$7,FALSE)),"")</f>
        <v>13</v>
      </c>
      <c r="DP13" s="109"/>
      <c r="DQ13" s="4">
        <v>54.31</v>
      </c>
      <c r="DR13" s="103">
        <f t="shared" si="17"/>
        <v>54.31</v>
      </c>
      <c r="DS13" s="20"/>
      <c r="DT13" s="104">
        <f t="shared" si="66"/>
        <v>802.1</v>
      </c>
      <c r="DU13" s="104">
        <f t="shared" si="67"/>
        <v>802.1</v>
      </c>
      <c r="DV13" s="105">
        <f ca="1">IF(OR(DQ13&lt;&gt;"",DS13&lt;&gt;""),RANK(DU13,DU$11:INDIRECT(DU$7,FALSE)),"")</f>
        <v>18</v>
      </c>
      <c r="DW13" s="106"/>
      <c r="DX13" s="107">
        <f t="shared" si="18"/>
        <v>6782.200000000001</v>
      </c>
      <c r="DY13" s="110">
        <f>IF(AND($F$8&lt;10,DX13&lt;&gt;""),HLOOKUP(MATCH(EX13,EZ13:FH13,0),Discards,1,FALSE),"")</f>
        <v>7</v>
      </c>
      <c r="DZ13" s="107">
        <f t="shared" si="68"/>
        <v>6782.200000000001</v>
      </c>
      <c r="EA13" s="108">
        <f ca="1">IF(OR(DQ13&lt;&gt;"",DS13&lt;&gt;""),RANK(DZ13,DZ$11:INDIRECT(DZ$7,FALSE)),"")</f>
        <v>14</v>
      </c>
      <c r="EB13" s="109"/>
      <c r="EC13" s="4"/>
      <c r="ED13" s="103">
        <f t="shared" si="19"/>
      </c>
      <c r="EE13" s="20"/>
      <c r="EF13" s="104">
        <f t="shared" si="69"/>
      </c>
      <c r="EG13" s="104">
        <f t="shared" si="70"/>
        <v>0</v>
      </c>
      <c r="EH13" s="105">
        <f ca="1">IF(OR(EC13&lt;&gt;"",EE13&lt;&gt;""),RANK(EG13,EG$11:INDIRECT(EG$7,FALSE)),"")</f>
      </c>
      <c r="EI13" s="106"/>
      <c r="EJ13" s="107">
        <f t="shared" si="20"/>
      </c>
      <c r="EK13" s="110">
        <f>IF(AND($F$8&lt;11,EJ13&lt;&gt;""),HLOOKUP(MATCH(EY13,EZ13:FI13,0),Discards,1,FALSE),"")</f>
      </c>
      <c r="EL13" s="107">
        <f t="shared" si="71"/>
        <v>0</v>
      </c>
      <c r="EM13" s="108">
        <f ca="1">IF(OR(EC13&lt;&gt;"",EE13&lt;&gt;""),RANK(EL13,EL$11:INDIRECT(EL$7,FALSE)),"")</f>
      </c>
      <c r="EN13" s="111"/>
      <c r="EP13" s="112">
        <f t="shared" si="72"/>
        <v>1</v>
      </c>
      <c r="EQ13" s="28">
        <f>MIN($EZ13:FA13)</f>
        <v>843.9</v>
      </c>
      <c r="ER13" s="28">
        <f>MIN($EZ13:FB13)</f>
        <v>818.8</v>
      </c>
      <c r="ES13" s="28">
        <f>MIN($EZ13:FC13)</f>
        <v>818.8</v>
      </c>
      <c r="ET13" s="28">
        <f>MIN($EZ13:FD13)</f>
        <v>745</v>
      </c>
      <c r="EU13" s="28">
        <f>MIN($EZ13:FE13)</f>
        <v>745</v>
      </c>
      <c r="EV13" s="28">
        <f>MIN($EZ13:FF13)</f>
        <v>648</v>
      </c>
      <c r="EW13" s="28">
        <f>MIN($EZ13:FG13)</f>
        <v>648</v>
      </c>
      <c r="EX13" s="28">
        <f>MIN($EZ13:FH13)</f>
        <v>648</v>
      </c>
      <c r="EY13" s="28">
        <f>MIN($EZ13:FI13)</f>
        <v>648</v>
      </c>
      <c r="EZ13" s="28">
        <f t="shared" si="21"/>
        <v>949.5</v>
      </c>
      <c r="FA13" s="28">
        <f t="shared" si="22"/>
        <v>843.9</v>
      </c>
      <c r="FB13" s="28">
        <f t="shared" si="23"/>
        <v>818.8</v>
      </c>
      <c r="FC13" s="28">
        <f t="shared" si="24"/>
        <v>962</v>
      </c>
      <c r="FD13" s="28">
        <f t="shared" si="25"/>
        <v>745</v>
      </c>
      <c r="FE13" s="28">
        <f t="shared" si="26"/>
        <v>873.3</v>
      </c>
      <c r="FF13" s="28">
        <f t="shared" si="27"/>
        <v>648</v>
      </c>
      <c r="FG13" s="28">
        <f t="shared" si="28"/>
        <v>787.6</v>
      </c>
      <c r="FH13" s="28">
        <f t="shared" si="29"/>
        <v>802.1</v>
      </c>
      <c r="FI13" s="28">
        <f t="shared" si="30"/>
      </c>
      <c r="FL13" s="26">
        <f t="shared" si="73"/>
        <v>255000000</v>
      </c>
      <c r="FM13" s="26">
        <f>IF(H13&lt;&gt;"",IF(LEN(H13)&gt;1,CODE(MID(H13,2,1))*1000,255000),255000)</f>
        <v>255000</v>
      </c>
      <c r="FN13" s="26">
        <f>IF(H13&lt;&gt;"",IF(LEN(H13)&gt;2,CODE(MID(H13,3,1)),255),255)</f>
        <v>255</v>
      </c>
      <c r="FO13" s="26">
        <f>IF(C13&lt;&gt;"",SUM(FL13:FN13),0)</f>
        <v>255255255</v>
      </c>
      <c r="FP13" s="26">
        <f ca="1">IF(FO13&gt;0,SMALL($FO$11:INDIRECT($FO$7,FALSE),A13),0)</f>
        <v>255255255</v>
      </c>
      <c r="FQ13" s="26">
        <f t="shared" si="74"/>
        <v>255</v>
      </c>
      <c r="FR13" s="26">
        <f t="shared" si="75"/>
        <v>255</v>
      </c>
      <c r="FS13" s="26">
        <f t="shared" si="76"/>
        <v>255</v>
      </c>
      <c r="FT13" s="26">
        <f t="shared" si="77"/>
      </c>
      <c r="FU13" s="26">
        <f t="shared" si="78"/>
        <v>24</v>
      </c>
      <c r="FV13" s="28">
        <f t="shared" si="31"/>
      </c>
      <c r="FW13" s="26">
        <f aca="true" t="shared" si="92" ref="FW13:FW28">IF(FT13&lt;&gt;FT12,FT13,"")</f>
      </c>
      <c r="FX13" s="28">
        <f t="shared" si="79"/>
      </c>
      <c r="FY13" s="26">
        <f ca="1">IF(FX13&lt;&gt;"",RANK(FX13,FX$11:INDIRECT(FX$7,FALSE)),"")</f>
      </c>
      <c r="FZ13" s="26">
        <f t="shared" si="80"/>
      </c>
      <c r="GA13" s="26">
        <f t="shared" si="81"/>
      </c>
      <c r="GC13" s="27">
        <f t="shared" si="32"/>
      </c>
      <c r="GD13" s="27">
        <f t="shared" si="33"/>
      </c>
      <c r="GE13" s="27">
        <f t="shared" si="82"/>
      </c>
      <c r="GF13" s="27">
        <f t="shared" si="83"/>
      </c>
      <c r="GG13" s="27">
        <f t="shared" si="84"/>
        <v>0</v>
      </c>
      <c r="GH13" s="26">
        <f t="shared" si="85"/>
        <v>0</v>
      </c>
      <c r="GI13" s="26">
        <f t="shared" si="86"/>
        <v>0</v>
      </c>
      <c r="GJ13" s="26">
        <f t="shared" si="87"/>
        <v>0</v>
      </c>
      <c r="GK13" s="26">
        <f t="shared" si="88"/>
      </c>
      <c r="GL13" s="28">
        <f t="shared" si="89"/>
      </c>
      <c r="GM13" s="26">
        <f t="shared" si="90"/>
      </c>
    </row>
    <row r="14" spans="1:195" ht="12.75">
      <c r="A14" s="132">
        <f t="shared" si="91"/>
        <v>4</v>
      </c>
      <c r="B14" s="133"/>
      <c r="C14" s="134" t="s">
        <v>104</v>
      </c>
      <c r="D14" s="135" t="s">
        <v>102</v>
      </c>
      <c r="E14" s="134" t="s">
        <v>105</v>
      </c>
      <c r="F14" s="134" t="s">
        <v>13</v>
      </c>
      <c r="G14" s="149"/>
      <c r="H14" s="136">
        <f t="shared" si="34"/>
      </c>
      <c r="I14" s="137">
        <f t="shared" si="35"/>
        <v>6462.4</v>
      </c>
      <c r="J14" s="137">
        <f>AD14+AO14+BA14+BM14+BY14+CK14+CW14+DI14+DU14+EG14-(MIN(EZ14:FI14)*$EY$2)</f>
        <v>6462.4</v>
      </c>
      <c r="K14" s="140">
        <f ca="1">IF(I14&lt;&gt;"",RANK(I14,J$11:INDIRECT(J$7,FALSE)),"")</f>
        <v>21</v>
      </c>
      <c r="L14" s="137">
        <f t="shared" si="36"/>
      </c>
      <c r="M14" s="137">
        <f t="shared" si="37"/>
        <v>0</v>
      </c>
      <c r="N14" s="138">
        <f t="shared" si="1"/>
      </c>
      <c r="O14" s="159"/>
      <c r="P14" s="160">
        <f t="shared" si="38"/>
      </c>
      <c r="Q14" s="161"/>
      <c r="R14" s="162">
        <f t="shared" si="39"/>
      </c>
      <c r="S14" s="162">
        <f t="shared" si="40"/>
        <v>0</v>
      </c>
      <c r="T14" s="163">
        <f ca="1">IF(OR(O14&lt;&gt;"",Q14&lt;&gt;""),RANK(S14,S$11:INDIRECT(S$7,FALSE)),"")</f>
      </c>
      <c r="U14" s="164"/>
      <c r="V14" s="165"/>
      <c r="W14" s="165"/>
      <c r="X14" s="166"/>
      <c r="Y14" s="167"/>
      <c r="Z14" s="228">
        <v>62.94</v>
      </c>
      <c r="AA14" s="113">
        <f t="shared" si="41"/>
        <v>62.94</v>
      </c>
      <c r="AB14" s="21"/>
      <c r="AC14" s="114">
        <f t="shared" si="42"/>
        <v>869.1</v>
      </c>
      <c r="AD14" s="114">
        <f t="shared" si="43"/>
        <v>869.1</v>
      </c>
      <c r="AE14" s="115">
        <f ca="1">IF(OR(Z14&lt;&gt;"",AB14&lt;&gt;""),RANK(AD14,AD$11:INDIRECT(AD$7,FALSE)),"")</f>
        <v>12</v>
      </c>
      <c r="AF14" s="116"/>
      <c r="AG14" s="117">
        <f t="shared" si="44"/>
        <v>869.1</v>
      </c>
      <c r="AH14" s="117">
        <f t="shared" si="45"/>
        <v>869.1</v>
      </c>
      <c r="AI14" s="118">
        <f ca="1">IF(OR(Z14&lt;&gt;"",AB14&lt;&gt;""),RANK(AH14,AH$11:INDIRECT(AH$7,FALSE)),"")</f>
        <v>12</v>
      </c>
      <c r="AJ14" s="119"/>
      <c r="AK14" s="5">
        <v>63.4</v>
      </c>
      <c r="AL14" s="113">
        <f t="shared" si="2"/>
        <v>63.4</v>
      </c>
      <c r="AM14" s="21"/>
      <c r="AN14" s="114">
        <f t="shared" si="46"/>
        <v>822.2</v>
      </c>
      <c r="AO14" s="114">
        <f t="shared" si="47"/>
        <v>822.2</v>
      </c>
      <c r="AP14" s="115">
        <f ca="1">IF(OR(AK14&lt;&gt;"",AM14&lt;&gt;""),RANK(AO14,AO$11:INDIRECT(AO$7,FALSE)),"")</f>
        <v>18</v>
      </c>
      <c r="AQ14" s="116"/>
      <c r="AR14" s="117">
        <f t="shared" si="3"/>
        <v>1691.3000000000002</v>
      </c>
      <c r="AS14" s="120">
        <f>IF(AND($F$8&lt;3,AR14&lt;&gt;""),HLOOKUP(MATCH(EQ14,EZ14:FA14,0),Discards,1,FALSE),"")</f>
      </c>
      <c r="AT14" s="117">
        <f t="shared" si="4"/>
        <v>1691.3000000000002</v>
      </c>
      <c r="AU14" s="118">
        <f ca="1">IF(OR(AK14&lt;&gt;"",AM14&lt;&gt;""),RANK(AT14,AT$11:INDIRECT(AT$7,FALSE)),"")</f>
        <v>12</v>
      </c>
      <c r="AV14" s="119"/>
      <c r="AW14" s="5">
        <v>58.53</v>
      </c>
      <c r="AX14" s="113">
        <f t="shared" si="5"/>
        <v>58.53</v>
      </c>
      <c r="AY14" s="21"/>
      <c r="AZ14" s="114">
        <f t="shared" si="48"/>
        <v>805.7</v>
      </c>
      <c r="BA14" s="114">
        <f t="shared" si="49"/>
        <v>805.7</v>
      </c>
      <c r="BB14" s="115">
        <f ca="1">IF(OR(AW14&lt;&gt;"",AY14&lt;&gt;""),RANK(BA14,BA$11:INDIRECT(BA$7,FALSE)),"")</f>
        <v>17</v>
      </c>
      <c r="BC14" s="116"/>
      <c r="BD14" s="117">
        <f t="shared" si="6"/>
        <v>2497</v>
      </c>
      <c r="BE14" s="120">
        <f>IF(AND($F$8&lt;4,BD14&lt;&gt;""),HLOOKUP(MATCH(ER14,EZ14:FB14,0),Discards,1,FALSE),"")</f>
      </c>
      <c r="BF14" s="117">
        <f t="shared" si="50"/>
        <v>2497</v>
      </c>
      <c r="BG14" s="118">
        <f ca="1">IF(OR(AW14&lt;&gt;"",AY14&lt;&gt;""),RANK(BF14,BF$11:INDIRECT(BF$7,FALSE)),"")</f>
        <v>14</v>
      </c>
      <c r="BH14" s="119"/>
      <c r="BI14" s="5">
        <v>55.24</v>
      </c>
      <c r="BJ14" s="113">
        <f t="shared" si="7"/>
        <v>55.24</v>
      </c>
      <c r="BK14" s="21"/>
      <c r="BL14" s="114">
        <f t="shared" si="51"/>
        <v>888.7</v>
      </c>
      <c r="BM14" s="114">
        <f t="shared" si="52"/>
        <v>888.7</v>
      </c>
      <c r="BN14" s="115">
        <f ca="1">IF(OR(BI14&lt;&gt;"",BK14&lt;&gt;""),RANK(BM14,BM$11:INDIRECT(BM$7,FALSE)),"")</f>
        <v>14</v>
      </c>
      <c r="BO14" s="116"/>
      <c r="BP14" s="117">
        <f t="shared" si="8"/>
        <v>3385.7</v>
      </c>
      <c r="BQ14" s="120">
        <f>IF(AND($F$8&lt;5,BP14&lt;&gt;""),HLOOKUP(MATCH(ES14,EZ14:FC14,0),Discards,1,FALSE),"")</f>
      </c>
      <c r="BR14" s="117">
        <f t="shared" si="53"/>
        <v>3385.7</v>
      </c>
      <c r="BS14" s="118">
        <f ca="1">IF(OR(BI14&lt;&gt;"",BK14&lt;&gt;""),RANK(BR14,BR$11:INDIRECT(BR$7,FALSE)),"")</f>
        <v>14</v>
      </c>
      <c r="BT14" s="119"/>
      <c r="BU14" s="5">
        <v>67.98</v>
      </c>
      <c r="BV14" s="113">
        <f t="shared" si="9"/>
        <v>67.98</v>
      </c>
      <c r="BW14" s="21"/>
      <c r="BX14" s="114">
        <f t="shared" si="54"/>
        <v>672.7</v>
      </c>
      <c r="BY14" s="114">
        <f t="shared" si="55"/>
        <v>672.7</v>
      </c>
      <c r="BZ14" s="115">
        <f ca="1">IF(OR(BU14&lt;&gt;"",BW14&lt;&gt;""),RANK(BY14,BY$11:INDIRECT(BY$7,FALSE)),"")</f>
        <v>25</v>
      </c>
      <c r="CA14" s="116"/>
      <c r="CB14" s="117">
        <f t="shared" si="10"/>
        <v>3385.7</v>
      </c>
      <c r="CC14" s="120">
        <f>IF(AND($F$8&lt;6,CB14&lt;&gt;""),HLOOKUP(MATCH(ET14,EZ14:FD14,0),Discards,1,FALSE),"")</f>
        <v>5</v>
      </c>
      <c r="CD14" s="117">
        <f t="shared" si="56"/>
        <v>3385.7</v>
      </c>
      <c r="CE14" s="118">
        <f ca="1">IF(OR(BU14&lt;&gt;"",BW14&lt;&gt;""),RANK(CD14,CD$11:INDIRECT(CD$7,FALSE)),"")</f>
        <v>17</v>
      </c>
      <c r="CF14" s="119"/>
      <c r="CG14" s="5">
        <v>0</v>
      </c>
      <c r="CH14" s="113">
        <f t="shared" si="11"/>
      </c>
      <c r="CI14" s="21"/>
      <c r="CJ14" s="114">
        <f t="shared" si="57"/>
        <v>0</v>
      </c>
      <c r="CK14" s="114">
        <f t="shared" si="58"/>
        <v>0</v>
      </c>
      <c r="CL14" s="115">
        <f ca="1">IF(OR(CG14&lt;&gt;"",CI14&lt;&gt;""),RANK(CK14,CK$11:INDIRECT(CK$7,FALSE)),"")</f>
        <v>25</v>
      </c>
      <c r="CM14" s="116"/>
      <c r="CN14" s="117">
        <f t="shared" si="12"/>
        <v>4058.3999999999996</v>
      </c>
      <c r="CO14" s="120">
        <f>IF(AND($F$8&lt;7,CN14&lt;&gt;""),HLOOKUP(MATCH(EU14,EZ14:FE14,0),Discards,1,FALSE),"")</f>
        <v>6</v>
      </c>
      <c r="CP14" s="117">
        <f t="shared" si="59"/>
        <v>4058.3999999999996</v>
      </c>
      <c r="CQ14" s="118">
        <f ca="1">IF(OR(CG14&lt;&gt;"",CI14&lt;&gt;""),RANK(CP14,CP$11:INDIRECT(CP$7,FALSE)),"")</f>
        <v>21</v>
      </c>
      <c r="CR14" s="119"/>
      <c r="CS14" s="5">
        <v>53.45</v>
      </c>
      <c r="CT14" s="113">
        <f t="shared" si="13"/>
        <v>53.45</v>
      </c>
      <c r="CU14" s="21"/>
      <c r="CV14" s="114">
        <f t="shared" si="60"/>
        <v>748</v>
      </c>
      <c r="CW14" s="114">
        <f t="shared" si="61"/>
        <v>748</v>
      </c>
      <c r="CX14" s="115">
        <f ca="1">IF(OR(CS14&lt;&gt;"",CU14&lt;&gt;""),RANK(CW14,CW$11:INDIRECT(CW$7,FALSE)),"")</f>
        <v>13</v>
      </c>
      <c r="CY14" s="116"/>
      <c r="CZ14" s="117">
        <f t="shared" si="14"/>
        <v>4806.4</v>
      </c>
      <c r="DA14" s="120">
        <f>IF(AND($F$8&lt;8,CZ14&lt;&gt;""),HLOOKUP(MATCH(EV14,EZ14:FF14,0),Discards,1,FALSE),"")</f>
        <v>6</v>
      </c>
      <c r="DB14" s="117">
        <f t="shared" si="62"/>
        <v>4806.4</v>
      </c>
      <c r="DC14" s="118">
        <f ca="1">IF(OR(CS14&lt;&gt;"",CU14&lt;&gt;""),RANK(DB14,DB$11:INDIRECT(DB$7,FALSE)),"")</f>
        <v>21</v>
      </c>
      <c r="DD14" s="119"/>
      <c r="DE14" s="5">
        <v>51.73</v>
      </c>
      <c r="DF14" s="113">
        <f t="shared" si="15"/>
        <v>51.73</v>
      </c>
      <c r="DG14" s="21"/>
      <c r="DH14" s="114">
        <f t="shared" si="63"/>
        <v>834.1</v>
      </c>
      <c r="DI14" s="114">
        <f t="shared" si="64"/>
        <v>834.1</v>
      </c>
      <c r="DJ14" s="115">
        <f ca="1">IF(OR(DE14&lt;&gt;"",DG14&lt;&gt;""),RANK(DI14,DI$11:INDIRECT(DI$7,FALSE)),"")</f>
        <v>11</v>
      </c>
      <c r="DK14" s="116"/>
      <c r="DL14" s="117">
        <f t="shared" si="16"/>
        <v>5640.5</v>
      </c>
      <c r="DM14" s="120">
        <f>IF(AND($F$8&lt;9,DL14&lt;&gt;""),HLOOKUP(MATCH(EW14,EZ14:FG14,0),Discards,1,FALSE),"")</f>
        <v>6</v>
      </c>
      <c r="DN14" s="117">
        <f t="shared" si="65"/>
        <v>5640.5</v>
      </c>
      <c r="DO14" s="118">
        <f ca="1">IF(OR(DE14&lt;&gt;"",DG14&lt;&gt;""),RANK(DN14,DN$11:INDIRECT(DN$7,FALSE)),"")</f>
        <v>20</v>
      </c>
      <c r="DP14" s="119"/>
      <c r="DQ14" s="5">
        <v>53</v>
      </c>
      <c r="DR14" s="113">
        <f t="shared" si="17"/>
        <v>53</v>
      </c>
      <c r="DS14" s="21"/>
      <c r="DT14" s="114">
        <f t="shared" si="66"/>
        <v>821.9</v>
      </c>
      <c r="DU14" s="114">
        <f t="shared" si="67"/>
        <v>821.9</v>
      </c>
      <c r="DV14" s="115">
        <f ca="1">IF(OR(DQ14&lt;&gt;"",DS14&lt;&gt;""),RANK(DU14,DU$11:INDIRECT(DU$7,FALSE)),"")</f>
        <v>14</v>
      </c>
      <c r="DW14" s="116"/>
      <c r="DX14" s="117">
        <f t="shared" si="18"/>
        <v>6462.4</v>
      </c>
      <c r="DY14" s="120">
        <f>IF(AND($F$8&lt;10,DX14&lt;&gt;""),HLOOKUP(MATCH(EX14,EZ14:FH14,0),Discards,1,FALSE),"")</f>
        <v>6</v>
      </c>
      <c r="DZ14" s="117">
        <f t="shared" si="68"/>
        <v>6462.4</v>
      </c>
      <c r="EA14" s="118">
        <f ca="1">IF(OR(DQ14&lt;&gt;"",DS14&lt;&gt;""),RANK(DZ14,DZ$11:INDIRECT(DZ$7,FALSE)),"")</f>
        <v>21</v>
      </c>
      <c r="EB14" s="119"/>
      <c r="EC14" s="5"/>
      <c r="ED14" s="113">
        <f t="shared" si="19"/>
      </c>
      <c r="EE14" s="21"/>
      <c r="EF14" s="114">
        <f t="shared" si="69"/>
      </c>
      <c r="EG14" s="114">
        <f t="shared" si="70"/>
        <v>0</v>
      </c>
      <c r="EH14" s="115">
        <f ca="1">IF(OR(EC14&lt;&gt;"",EE14&lt;&gt;""),RANK(EG14,EG$11:INDIRECT(EG$7,FALSE)),"")</f>
      </c>
      <c r="EI14" s="116"/>
      <c r="EJ14" s="117">
        <f t="shared" si="20"/>
      </c>
      <c r="EK14" s="120">
        <f>IF(AND($F$8&lt;11,EJ14&lt;&gt;""),HLOOKUP(MATCH(EY14,EZ14:FI14,0),Discards,1,FALSE),"")</f>
      </c>
      <c r="EL14" s="117">
        <f t="shared" si="71"/>
        <v>0</v>
      </c>
      <c r="EM14" s="118">
        <f ca="1">IF(OR(EC14&lt;&gt;"",EE14&lt;&gt;""),RANK(EL14,EL$11:INDIRECT(EL$7,FALSE)),"")</f>
      </c>
      <c r="EN14" s="121"/>
      <c r="EP14" s="112">
        <f t="shared" si="72"/>
        <v>1</v>
      </c>
      <c r="EQ14" s="28">
        <f>MIN($EZ14:FA14)</f>
        <v>822.2</v>
      </c>
      <c r="ER14" s="28">
        <f>MIN($EZ14:FB14)</f>
        <v>805.7</v>
      </c>
      <c r="ES14" s="28">
        <f>MIN($EZ14:FC14)</f>
        <v>805.7</v>
      </c>
      <c r="ET14" s="28">
        <f>MIN($EZ14:FD14)</f>
        <v>672.7</v>
      </c>
      <c r="EU14" s="28">
        <f>MIN($EZ14:FE14)</f>
        <v>0</v>
      </c>
      <c r="EV14" s="28">
        <f>MIN($EZ14:FF14)</f>
        <v>0</v>
      </c>
      <c r="EW14" s="28">
        <f>MIN($EZ14:FG14)</f>
        <v>0</v>
      </c>
      <c r="EX14" s="28">
        <f>MIN($EZ14:FH14)</f>
        <v>0</v>
      </c>
      <c r="EY14" s="28">
        <f>MIN($EZ14:FI14)</f>
        <v>0</v>
      </c>
      <c r="EZ14" s="28">
        <f t="shared" si="21"/>
        <v>869.1</v>
      </c>
      <c r="FA14" s="28">
        <f t="shared" si="22"/>
        <v>822.2</v>
      </c>
      <c r="FB14" s="28">
        <f t="shared" si="23"/>
        <v>805.7</v>
      </c>
      <c r="FC14" s="28">
        <f t="shared" si="24"/>
        <v>888.7</v>
      </c>
      <c r="FD14" s="28">
        <f t="shared" si="25"/>
        <v>672.7</v>
      </c>
      <c r="FE14" s="28">
        <f t="shared" si="26"/>
        <v>0</v>
      </c>
      <c r="FF14" s="28">
        <f t="shared" si="27"/>
        <v>748</v>
      </c>
      <c r="FG14" s="28">
        <f t="shared" si="28"/>
        <v>834.1</v>
      </c>
      <c r="FH14" s="28">
        <f t="shared" si="29"/>
        <v>821.9</v>
      </c>
      <c r="FI14" s="28">
        <f t="shared" si="30"/>
      </c>
      <c r="FL14" s="26">
        <f t="shared" si="73"/>
        <v>255000000</v>
      </c>
      <c r="FM14" s="26">
        <f aca="true" t="shared" si="93" ref="FM14:FM27">IF(H14&lt;&gt;"",CODE(MID(H14,2,1))*1000,255000)</f>
        <v>255000</v>
      </c>
      <c r="FN14" s="26">
        <f aca="true" t="shared" si="94" ref="FN14:FN27">IF(H14&lt;&gt;"",CODE(MID(H14,3,1)),255)</f>
        <v>255</v>
      </c>
      <c r="FO14" s="26">
        <f>IF(C14&lt;&gt;"",SUM(FL14:FN14),0)</f>
        <v>255255255</v>
      </c>
      <c r="FP14" s="26">
        <f ca="1">IF(FO14&gt;0,SMALL($FO$11:INDIRECT($FO$7,FALSE),A14),0)</f>
        <v>255255255</v>
      </c>
      <c r="FQ14" s="26">
        <f t="shared" si="74"/>
        <v>255</v>
      </c>
      <c r="FR14" s="26">
        <f t="shared" si="75"/>
        <v>255</v>
      </c>
      <c r="FS14" s="26">
        <f t="shared" si="76"/>
        <v>255</v>
      </c>
      <c r="FT14" s="26">
        <f t="shared" si="77"/>
      </c>
      <c r="FU14" s="26">
        <f t="shared" si="78"/>
        <v>24</v>
      </c>
      <c r="FV14" s="28">
        <f t="shared" si="31"/>
      </c>
      <c r="FW14" s="26">
        <f t="shared" si="92"/>
      </c>
      <c r="FX14" s="28">
        <f t="shared" si="79"/>
      </c>
      <c r="FY14" s="26">
        <f ca="1">IF(FX14&lt;&gt;"",RANK(FX14,FX$11:INDIRECT(FX$7,FALSE)),"")</f>
      </c>
      <c r="FZ14" s="26">
        <f t="shared" si="80"/>
      </c>
      <c r="GA14" s="26">
        <f t="shared" si="81"/>
      </c>
      <c r="GC14" s="27">
        <f t="shared" si="32"/>
      </c>
      <c r="GD14" s="27">
        <f t="shared" si="33"/>
      </c>
      <c r="GE14" s="27">
        <f t="shared" si="82"/>
      </c>
      <c r="GF14" s="27">
        <f t="shared" si="83"/>
      </c>
      <c r="GG14" s="27">
        <f t="shared" si="84"/>
        <v>0</v>
      </c>
      <c r="GH14" s="26">
        <f t="shared" si="85"/>
        <v>0</v>
      </c>
      <c r="GI14" s="26">
        <f t="shared" si="86"/>
        <v>0</v>
      </c>
      <c r="GJ14" s="26">
        <f t="shared" si="87"/>
        <v>0</v>
      </c>
      <c r="GK14" s="26">
        <f t="shared" si="88"/>
      </c>
      <c r="GL14" s="28">
        <f t="shared" si="89"/>
      </c>
      <c r="GM14" s="26">
        <f t="shared" si="90"/>
      </c>
    </row>
    <row r="15" spans="1:195" ht="12.75">
      <c r="A15" s="132">
        <f t="shared" si="91"/>
        <v>5</v>
      </c>
      <c r="B15" s="133"/>
      <c r="C15" s="134" t="s">
        <v>106</v>
      </c>
      <c r="D15" s="135" t="s">
        <v>107</v>
      </c>
      <c r="E15" s="134" t="s">
        <v>108</v>
      </c>
      <c r="F15" s="134" t="s">
        <v>13</v>
      </c>
      <c r="G15" s="149"/>
      <c r="H15" s="136">
        <f t="shared" si="34"/>
      </c>
      <c r="I15" s="137">
        <f t="shared" si="35"/>
        <v>6730.900000000001</v>
      </c>
      <c r="J15" s="137">
        <f>AD15+AO15+BA15+BM15+BY15+CK15+CW15+DI15+DU15+EG15-(MIN(EZ15:FI15)*$EY$2)</f>
        <v>6730.900000000001</v>
      </c>
      <c r="K15" s="140">
        <f ca="1">IF(I15&lt;&gt;"",RANK(I15,J$11:INDIRECT(J$7,FALSE)),"")</f>
        <v>15</v>
      </c>
      <c r="L15" s="137">
        <f t="shared" si="36"/>
      </c>
      <c r="M15" s="137">
        <f t="shared" si="37"/>
        <v>0</v>
      </c>
      <c r="N15" s="138">
        <f t="shared" si="1"/>
      </c>
      <c r="O15" s="159"/>
      <c r="P15" s="160">
        <f t="shared" si="38"/>
      </c>
      <c r="Q15" s="161"/>
      <c r="R15" s="162">
        <f t="shared" si="39"/>
      </c>
      <c r="S15" s="162">
        <f t="shared" si="40"/>
        <v>0</v>
      </c>
      <c r="T15" s="163">
        <f ca="1">IF(OR(O15&lt;&gt;"",Q15&lt;&gt;""),RANK(S15,S$11:INDIRECT(S$7,FALSE)),"")</f>
      </c>
      <c r="U15" s="164"/>
      <c r="V15" s="165"/>
      <c r="W15" s="165"/>
      <c r="X15" s="166"/>
      <c r="Y15" s="167"/>
      <c r="Z15" s="228">
        <v>80.74</v>
      </c>
      <c r="AA15" s="113">
        <f t="shared" si="41"/>
        <v>80.74</v>
      </c>
      <c r="AB15" s="21"/>
      <c r="AC15" s="114">
        <f t="shared" si="42"/>
        <v>677.5</v>
      </c>
      <c r="AD15" s="114">
        <f t="shared" si="43"/>
        <v>677.5</v>
      </c>
      <c r="AE15" s="115">
        <f ca="1">IF(OR(Z15&lt;&gt;"",AB15&lt;&gt;""),RANK(AD15,AD$11:INDIRECT(AD$7,FALSE)),"")</f>
        <v>25</v>
      </c>
      <c r="AF15" s="116"/>
      <c r="AG15" s="117">
        <f t="shared" si="44"/>
        <v>677.5</v>
      </c>
      <c r="AH15" s="117">
        <f t="shared" si="45"/>
        <v>677.5</v>
      </c>
      <c r="AI15" s="118">
        <f ca="1">IF(OR(Z15&lt;&gt;"",AB15&lt;&gt;""),RANK(AH15,AH$11:INDIRECT(AH$7,FALSE)),"")</f>
        <v>25</v>
      </c>
      <c r="AJ15" s="119"/>
      <c r="AK15" s="5">
        <v>58.69</v>
      </c>
      <c r="AL15" s="113">
        <f t="shared" si="2"/>
        <v>58.69</v>
      </c>
      <c r="AM15" s="21"/>
      <c r="AN15" s="114">
        <f t="shared" si="46"/>
        <v>888.2</v>
      </c>
      <c r="AO15" s="114">
        <f t="shared" si="47"/>
        <v>888.2</v>
      </c>
      <c r="AP15" s="115">
        <f ca="1">IF(OR(AK15&lt;&gt;"",AM15&lt;&gt;""),RANK(AO15,AO$11:INDIRECT(AO$7,FALSE)),"")</f>
        <v>7</v>
      </c>
      <c r="AQ15" s="116"/>
      <c r="AR15" s="117">
        <f t="shared" si="3"/>
        <v>1565.7</v>
      </c>
      <c r="AS15" s="120">
        <f>IF(AND($F$8&lt;3,AR15&lt;&gt;""),HLOOKUP(MATCH(EQ15,EZ15:FA15,0),Discards,1,FALSE),"")</f>
      </c>
      <c r="AT15" s="117">
        <f t="shared" si="4"/>
        <v>1565.7</v>
      </c>
      <c r="AU15" s="118">
        <f ca="1">IF(OR(AK15&lt;&gt;"",AM15&lt;&gt;""),RANK(AT15,AT$11:INDIRECT(AT$7,FALSE)),"")</f>
        <v>21</v>
      </c>
      <c r="AV15" s="119"/>
      <c r="AW15" s="5">
        <v>60.68</v>
      </c>
      <c r="AX15" s="113">
        <f t="shared" si="5"/>
        <v>60.68</v>
      </c>
      <c r="AY15" s="21"/>
      <c r="AZ15" s="114">
        <f t="shared" si="48"/>
        <v>777.2</v>
      </c>
      <c r="BA15" s="114">
        <f t="shared" si="49"/>
        <v>777.2</v>
      </c>
      <c r="BB15" s="115">
        <f ca="1">IF(OR(AW15&lt;&gt;"",AY15&lt;&gt;""),RANK(BA15,BA$11:INDIRECT(BA$7,FALSE)),"")</f>
        <v>21</v>
      </c>
      <c r="BC15" s="116"/>
      <c r="BD15" s="117">
        <f t="shared" si="6"/>
        <v>2342.9</v>
      </c>
      <c r="BE15" s="120">
        <f>IF(AND($F$8&lt;4,BD15&lt;&gt;""),HLOOKUP(MATCH(ER15,EZ15:FB15,0),Discards,1,FALSE),"")</f>
      </c>
      <c r="BF15" s="117">
        <f t="shared" si="50"/>
        <v>2342.9</v>
      </c>
      <c r="BG15" s="118">
        <f ca="1">IF(OR(AW15&lt;&gt;"",AY15&lt;&gt;""),RANK(BF15,BF$11:INDIRECT(BF$7,FALSE)),"")</f>
        <v>24</v>
      </c>
      <c r="BH15" s="119"/>
      <c r="BI15" s="5">
        <v>58.04</v>
      </c>
      <c r="BJ15" s="113">
        <f t="shared" si="7"/>
        <v>58.04</v>
      </c>
      <c r="BK15" s="21"/>
      <c r="BL15" s="114">
        <f t="shared" si="51"/>
        <v>845.8</v>
      </c>
      <c r="BM15" s="114">
        <f t="shared" si="52"/>
        <v>845.8</v>
      </c>
      <c r="BN15" s="115">
        <f ca="1">IF(OR(BI15&lt;&gt;"",BK15&lt;&gt;""),RANK(BM15,BM$11:INDIRECT(BM$7,FALSE)),"")</f>
        <v>19</v>
      </c>
      <c r="BO15" s="116"/>
      <c r="BP15" s="117">
        <f t="shared" si="8"/>
        <v>3188.7</v>
      </c>
      <c r="BQ15" s="120">
        <f>IF(AND($F$8&lt;5,BP15&lt;&gt;""),HLOOKUP(MATCH(ES15,EZ15:FC15,0),Discards,1,FALSE),"")</f>
      </c>
      <c r="BR15" s="117">
        <f t="shared" si="53"/>
        <v>3188.7</v>
      </c>
      <c r="BS15" s="118">
        <f ca="1">IF(OR(BI15&lt;&gt;"",BK15&lt;&gt;""),RANK(BR15,BR$11:INDIRECT(BR$7,FALSE)),"")</f>
        <v>22</v>
      </c>
      <c r="BT15" s="119"/>
      <c r="BU15" s="5">
        <v>50.61</v>
      </c>
      <c r="BV15" s="113">
        <f t="shared" si="9"/>
        <v>50.61</v>
      </c>
      <c r="BW15" s="21"/>
      <c r="BX15" s="114">
        <f t="shared" si="54"/>
        <v>903.6</v>
      </c>
      <c r="BY15" s="114">
        <f t="shared" si="55"/>
        <v>903.6</v>
      </c>
      <c r="BZ15" s="115">
        <f ca="1">IF(OR(BU15&lt;&gt;"",BW15&lt;&gt;""),RANK(BY15,BY$11:INDIRECT(BY$7,FALSE)),"")</f>
        <v>6</v>
      </c>
      <c r="CA15" s="116"/>
      <c r="CB15" s="117">
        <f t="shared" si="10"/>
        <v>3414.7999999999997</v>
      </c>
      <c r="CC15" s="120">
        <f>IF(AND($F$8&lt;6,CB15&lt;&gt;""),HLOOKUP(MATCH(ET15,EZ15:FD15,0),Discards,1,FALSE),"")</f>
        <v>1</v>
      </c>
      <c r="CD15" s="117">
        <f t="shared" si="56"/>
        <v>3414.7999999999997</v>
      </c>
      <c r="CE15" s="118">
        <f ca="1">IF(OR(BU15&lt;&gt;"",BW15&lt;&gt;""),RANK(CD15,CD$11:INDIRECT(CD$7,FALSE)),"")</f>
        <v>15</v>
      </c>
      <c r="CF15" s="119"/>
      <c r="CG15" s="5">
        <v>61.21</v>
      </c>
      <c r="CH15" s="113">
        <f t="shared" si="11"/>
        <v>61.21</v>
      </c>
      <c r="CI15" s="21"/>
      <c r="CJ15" s="114">
        <f t="shared" si="57"/>
        <v>806.2</v>
      </c>
      <c r="CK15" s="114">
        <f t="shared" si="58"/>
        <v>806.2</v>
      </c>
      <c r="CL15" s="115">
        <f ca="1">IF(OR(CG15&lt;&gt;"",CI15&lt;&gt;""),RANK(CK15,CK$11:INDIRECT(CK$7,FALSE)),"")</f>
        <v>18</v>
      </c>
      <c r="CM15" s="116"/>
      <c r="CN15" s="117">
        <f t="shared" si="12"/>
        <v>4221</v>
      </c>
      <c r="CO15" s="120">
        <f>IF(AND($F$8&lt;7,CN15&lt;&gt;""),HLOOKUP(MATCH(EU15,EZ15:FE15,0),Discards,1,FALSE),"")</f>
        <v>1</v>
      </c>
      <c r="CP15" s="117">
        <f t="shared" si="59"/>
        <v>4221</v>
      </c>
      <c r="CQ15" s="118">
        <f ca="1">IF(OR(CG15&lt;&gt;"",CI15&lt;&gt;""),RANK(CP15,CP$11:INDIRECT(CP$7,FALSE)),"")</f>
        <v>16</v>
      </c>
      <c r="CR15" s="119"/>
      <c r="CS15" s="5">
        <v>58.51</v>
      </c>
      <c r="CT15" s="113">
        <f t="shared" si="13"/>
        <v>58.51</v>
      </c>
      <c r="CU15" s="21"/>
      <c r="CV15" s="114">
        <f t="shared" si="60"/>
        <v>683.3</v>
      </c>
      <c r="CW15" s="114">
        <f t="shared" si="61"/>
        <v>683.3</v>
      </c>
      <c r="CX15" s="115">
        <f ca="1">IF(OR(CS15&lt;&gt;"",CU15&lt;&gt;""),RANK(CW15,CW$11:INDIRECT(CW$7,FALSE)),"")</f>
        <v>18</v>
      </c>
      <c r="CY15" s="116"/>
      <c r="CZ15" s="117">
        <f t="shared" si="14"/>
        <v>4904.3</v>
      </c>
      <c r="DA15" s="120">
        <f>IF(AND($F$8&lt;8,CZ15&lt;&gt;""),HLOOKUP(MATCH(EV15,EZ15:FF15,0),Discards,1,FALSE),"")</f>
        <v>1</v>
      </c>
      <c r="DB15" s="117">
        <f t="shared" si="62"/>
        <v>4904.3</v>
      </c>
      <c r="DC15" s="118">
        <f ca="1">IF(OR(CS15&lt;&gt;"",CU15&lt;&gt;""),RANK(DB15,DB$11:INDIRECT(DB$7,FALSE)),"")</f>
        <v>19</v>
      </c>
      <c r="DD15" s="119"/>
      <c r="DE15" s="5">
        <v>44.47</v>
      </c>
      <c r="DF15" s="113">
        <f t="shared" si="15"/>
        <v>44.47</v>
      </c>
      <c r="DG15" s="21"/>
      <c r="DH15" s="114">
        <f t="shared" si="63"/>
        <v>970.3</v>
      </c>
      <c r="DI15" s="114">
        <f t="shared" si="64"/>
        <v>970.3</v>
      </c>
      <c r="DJ15" s="115">
        <f ca="1">IF(OR(DE15&lt;&gt;"",DG15&lt;&gt;""),RANK(DI15,DI$11:INDIRECT(DI$7,FALSE)),"")</f>
        <v>3</v>
      </c>
      <c r="DK15" s="116"/>
      <c r="DL15" s="117">
        <f t="shared" si="16"/>
        <v>5874.6</v>
      </c>
      <c r="DM15" s="120">
        <f>IF(AND($F$8&lt;9,DL15&lt;&gt;""),HLOOKUP(MATCH(EW15,EZ15:FG15,0),Discards,1,FALSE),"")</f>
        <v>1</v>
      </c>
      <c r="DN15" s="117">
        <f t="shared" si="65"/>
        <v>5874.6</v>
      </c>
      <c r="DO15" s="118">
        <f ca="1">IF(OR(DE15&lt;&gt;"",DG15&lt;&gt;""),RANK(DN15,DN$11:INDIRECT(DN$7,FALSE)),"")</f>
        <v>16</v>
      </c>
      <c r="DP15" s="119"/>
      <c r="DQ15" s="5">
        <v>50.87</v>
      </c>
      <c r="DR15" s="113">
        <f t="shared" si="17"/>
        <v>50.87</v>
      </c>
      <c r="DS15" s="21"/>
      <c r="DT15" s="114">
        <f t="shared" si="66"/>
        <v>856.3</v>
      </c>
      <c r="DU15" s="114">
        <f t="shared" si="67"/>
        <v>856.3</v>
      </c>
      <c r="DV15" s="115">
        <f ca="1">IF(OR(DQ15&lt;&gt;"",DS15&lt;&gt;""),RANK(DU15,DU$11:INDIRECT(DU$7,FALSE)),"")</f>
        <v>10</v>
      </c>
      <c r="DW15" s="116"/>
      <c r="DX15" s="117">
        <f t="shared" si="18"/>
        <v>6730.900000000001</v>
      </c>
      <c r="DY15" s="120">
        <f>IF(AND($F$8&lt;10,DX15&lt;&gt;""),HLOOKUP(MATCH(EX15,EZ15:FH15,0),Discards,1,FALSE),"")</f>
        <v>1</v>
      </c>
      <c r="DZ15" s="117">
        <f t="shared" si="68"/>
        <v>6730.900000000001</v>
      </c>
      <c r="EA15" s="118">
        <f ca="1">IF(OR(DQ15&lt;&gt;"",DS15&lt;&gt;""),RANK(DZ15,DZ$11:INDIRECT(DZ$7,FALSE)),"")</f>
        <v>15</v>
      </c>
      <c r="EB15" s="119"/>
      <c r="EC15" s="5"/>
      <c r="ED15" s="113">
        <f t="shared" si="19"/>
      </c>
      <c r="EE15" s="21"/>
      <c r="EF15" s="114">
        <f t="shared" si="69"/>
      </c>
      <c r="EG15" s="114">
        <f t="shared" si="70"/>
        <v>0</v>
      </c>
      <c r="EH15" s="115">
        <f ca="1">IF(OR(EC15&lt;&gt;"",EE15&lt;&gt;""),RANK(EG15,EG$11:INDIRECT(EG$7,FALSE)),"")</f>
      </c>
      <c r="EI15" s="116"/>
      <c r="EJ15" s="117">
        <f t="shared" si="20"/>
      </c>
      <c r="EK15" s="120">
        <f>IF(AND($F$8&lt;11,EJ15&lt;&gt;""),HLOOKUP(MATCH(EY15,EZ15:FI15,0),Discards,1,FALSE),"")</f>
      </c>
      <c r="EL15" s="117">
        <f t="shared" si="71"/>
        <v>0</v>
      </c>
      <c r="EM15" s="118">
        <f ca="1">IF(OR(EC15&lt;&gt;"",EE15&lt;&gt;""),RANK(EL15,EL$11:INDIRECT(EL$7,FALSE)),"")</f>
      </c>
      <c r="EN15" s="121"/>
      <c r="EP15" s="112">
        <f t="shared" si="72"/>
        <v>1</v>
      </c>
      <c r="EQ15" s="28">
        <f>MIN($EZ15:FA15)</f>
        <v>677.5</v>
      </c>
      <c r="ER15" s="28">
        <f>MIN($EZ15:FB15)</f>
        <v>677.5</v>
      </c>
      <c r="ES15" s="28">
        <f>MIN($EZ15:FC15)</f>
        <v>677.5</v>
      </c>
      <c r="ET15" s="28">
        <f>MIN($EZ15:FD15)</f>
        <v>677.5</v>
      </c>
      <c r="EU15" s="28">
        <f>MIN($EZ15:FE15)</f>
        <v>677.5</v>
      </c>
      <c r="EV15" s="28">
        <f>MIN($EZ15:FF15)</f>
        <v>677.5</v>
      </c>
      <c r="EW15" s="28">
        <f>MIN($EZ15:FG15)</f>
        <v>677.5</v>
      </c>
      <c r="EX15" s="28">
        <f>MIN($EZ15:FH15)</f>
        <v>677.5</v>
      </c>
      <c r="EY15" s="28">
        <f>MIN($EZ15:FI15)</f>
        <v>677.5</v>
      </c>
      <c r="EZ15" s="28">
        <f t="shared" si="21"/>
        <v>677.5</v>
      </c>
      <c r="FA15" s="28">
        <f t="shared" si="22"/>
        <v>888.2</v>
      </c>
      <c r="FB15" s="28">
        <f t="shared" si="23"/>
        <v>777.2</v>
      </c>
      <c r="FC15" s="28">
        <f t="shared" si="24"/>
        <v>845.8</v>
      </c>
      <c r="FD15" s="28">
        <f t="shared" si="25"/>
        <v>903.6</v>
      </c>
      <c r="FE15" s="28">
        <f t="shared" si="26"/>
        <v>806.2</v>
      </c>
      <c r="FF15" s="28">
        <f t="shared" si="27"/>
        <v>683.3</v>
      </c>
      <c r="FG15" s="28">
        <f t="shared" si="28"/>
        <v>970.3</v>
      </c>
      <c r="FH15" s="28">
        <f t="shared" si="29"/>
        <v>856.3</v>
      </c>
      <c r="FI15" s="28">
        <f t="shared" si="30"/>
      </c>
      <c r="FL15" s="26">
        <f t="shared" si="73"/>
        <v>255000000</v>
      </c>
      <c r="FM15" s="26">
        <f t="shared" si="93"/>
        <v>255000</v>
      </c>
      <c r="FN15" s="26">
        <f t="shared" si="94"/>
        <v>255</v>
      </c>
      <c r="FO15" s="26">
        <f>IF(C15&lt;&gt;"",SUM(FL15:FN15),0)</f>
        <v>255255255</v>
      </c>
      <c r="FP15" s="26">
        <f ca="1">IF(FO15&gt;0,SMALL($FO$11:INDIRECT($FO$7,FALSE),A15),0)</f>
        <v>255255255</v>
      </c>
      <c r="FQ15" s="26">
        <f t="shared" si="74"/>
        <v>255</v>
      </c>
      <c r="FR15" s="26">
        <f t="shared" si="75"/>
        <v>255</v>
      </c>
      <c r="FS15" s="26">
        <f t="shared" si="76"/>
        <v>255</v>
      </c>
      <c r="FT15" s="26">
        <f t="shared" si="77"/>
      </c>
      <c r="FU15" s="26">
        <f t="shared" si="78"/>
        <v>24</v>
      </c>
      <c r="FV15" s="28">
        <f t="shared" si="31"/>
      </c>
      <c r="FW15" s="26">
        <f t="shared" si="92"/>
      </c>
      <c r="FX15" s="28">
        <f t="shared" si="79"/>
      </c>
      <c r="FY15" s="26">
        <f ca="1">IF(FX15&lt;&gt;"",RANK(FX15,FX$11:INDIRECT(FX$7,FALSE)),"")</f>
      </c>
      <c r="FZ15" s="26">
        <f t="shared" si="80"/>
      </c>
      <c r="GA15" s="26">
        <f t="shared" si="81"/>
      </c>
      <c r="GC15" s="27">
        <f t="shared" si="32"/>
      </c>
      <c r="GD15" s="27">
        <f t="shared" si="33"/>
      </c>
      <c r="GE15" s="27">
        <f t="shared" si="82"/>
      </c>
      <c r="GF15" s="27">
        <f t="shared" si="83"/>
      </c>
      <c r="GG15" s="27">
        <f t="shared" si="84"/>
        <v>0</v>
      </c>
      <c r="GH15" s="26">
        <f t="shared" si="85"/>
        <v>0</v>
      </c>
      <c r="GI15" s="26">
        <f t="shared" si="86"/>
        <v>0</v>
      </c>
      <c r="GJ15" s="26">
        <f t="shared" si="87"/>
        <v>0</v>
      </c>
      <c r="GK15" s="26">
        <f t="shared" si="88"/>
      </c>
      <c r="GL15" s="28">
        <f t="shared" si="89"/>
      </c>
      <c r="GM15" s="26">
        <f t="shared" si="90"/>
      </c>
    </row>
    <row r="16" spans="1:195" ht="12.75">
      <c r="A16" s="132">
        <f t="shared" si="91"/>
        <v>6</v>
      </c>
      <c r="B16" s="133"/>
      <c r="C16" s="134" t="s">
        <v>109</v>
      </c>
      <c r="D16" s="135" t="s">
        <v>96</v>
      </c>
      <c r="E16" s="134" t="s">
        <v>110</v>
      </c>
      <c r="F16" s="134"/>
      <c r="G16" s="149"/>
      <c r="H16" s="136">
        <f t="shared" si="34"/>
      </c>
      <c r="I16" s="137">
        <f t="shared" si="35"/>
        <v>6115.5</v>
      </c>
      <c r="J16" s="137">
        <f>AD16+AO16+BA16+BM16+BY16+CK16+CW16+DI16+DU16+EG16-(MIN(EZ16:FI16)*$EY$2)</f>
        <v>6115.5</v>
      </c>
      <c r="K16" s="140">
        <f ca="1">IF(I16&lt;&gt;"",RANK(I16,J$11:INDIRECT(J$7,FALSE)),"")</f>
        <v>24</v>
      </c>
      <c r="L16" s="137">
        <f t="shared" si="36"/>
      </c>
      <c r="M16" s="137">
        <f t="shared" si="37"/>
        <v>0</v>
      </c>
      <c r="N16" s="138">
        <f t="shared" si="1"/>
      </c>
      <c r="O16" s="159"/>
      <c r="P16" s="160">
        <f t="shared" si="38"/>
      </c>
      <c r="Q16" s="161"/>
      <c r="R16" s="162">
        <f t="shared" si="39"/>
      </c>
      <c r="S16" s="162">
        <f t="shared" si="40"/>
        <v>0</v>
      </c>
      <c r="T16" s="163">
        <f ca="1">IF(OR(O16&lt;&gt;"",Q16&lt;&gt;""),RANK(S16,S$11:INDIRECT(S$7,FALSE)),"")</f>
      </c>
      <c r="U16" s="164"/>
      <c r="V16" s="165"/>
      <c r="W16" s="165"/>
      <c r="X16" s="166"/>
      <c r="Y16" s="167"/>
      <c r="Z16" s="228">
        <v>58.73</v>
      </c>
      <c r="AA16" s="113">
        <f t="shared" si="41"/>
        <v>58.73</v>
      </c>
      <c r="AB16" s="21"/>
      <c r="AC16" s="114">
        <f t="shared" si="42"/>
        <v>931.4</v>
      </c>
      <c r="AD16" s="114">
        <f t="shared" si="43"/>
        <v>931.4</v>
      </c>
      <c r="AE16" s="115">
        <f ca="1">IF(OR(Z16&lt;&gt;"",AB16&lt;&gt;""),RANK(AD16,AD$11:INDIRECT(AD$7,FALSE)),"")</f>
        <v>7</v>
      </c>
      <c r="AF16" s="116"/>
      <c r="AG16" s="117">
        <f t="shared" si="44"/>
        <v>931.4</v>
      </c>
      <c r="AH16" s="117">
        <f t="shared" si="45"/>
        <v>931.4</v>
      </c>
      <c r="AI16" s="118">
        <f ca="1">IF(OR(Z16&lt;&gt;"",AB16&lt;&gt;""),RANK(AH16,AH$11:INDIRECT(AH$7,FALSE)),"")</f>
        <v>7</v>
      </c>
      <c r="AJ16" s="119"/>
      <c r="AK16" s="5">
        <v>73.68</v>
      </c>
      <c r="AL16" s="113">
        <f t="shared" si="2"/>
        <v>73.68</v>
      </c>
      <c r="AM16" s="21"/>
      <c r="AN16" s="114">
        <f t="shared" si="46"/>
        <v>707.5</v>
      </c>
      <c r="AO16" s="114">
        <f t="shared" si="47"/>
        <v>707.5</v>
      </c>
      <c r="AP16" s="115">
        <f ca="1">IF(OR(AK16&lt;&gt;"",AM16&lt;&gt;""),RANK(AO16,AO$11:INDIRECT(AO$7,FALSE)),"")</f>
        <v>26</v>
      </c>
      <c r="AQ16" s="116"/>
      <c r="AR16" s="117">
        <f t="shared" si="3"/>
        <v>1638.9</v>
      </c>
      <c r="AS16" s="120">
        <f>IF(AND($F$8&lt;3,AR16&lt;&gt;""),HLOOKUP(MATCH(EQ16,EZ16:FA16,0),Discards,1,FALSE),"")</f>
      </c>
      <c r="AT16" s="117">
        <f t="shared" si="4"/>
        <v>1638.9</v>
      </c>
      <c r="AU16" s="118">
        <f ca="1">IF(OR(AK16&lt;&gt;"",AM16&lt;&gt;""),RANK(AT16,AT$11:INDIRECT(AT$7,FALSE)),"")</f>
        <v>19</v>
      </c>
      <c r="AV16" s="119"/>
      <c r="AW16" s="5">
        <v>66</v>
      </c>
      <c r="AX16" s="113">
        <f t="shared" si="5"/>
        <v>66</v>
      </c>
      <c r="AY16" s="21"/>
      <c r="AZ16" s="114">
        <f t="shared" si="48"/>
        <v>714.5</v>
      </c>
      <c r="BA16" s="114">
        <f t="shared" si="49"/>
        <v>714.5</v>
      </c>
      <c r="BB16" s="115">
        <f ca="1">IF(OR(AW16&lt;&gt;"",AY16&lt;&gt;""),RANK(BA16,BA$11:INDIRECT(BA$7,FALSE)),"")</f>
        <v>24</v>
      </c>
      <c r="BC16" s="116"/>
      <c r="BD16" s="117">
        <f t="shared" si="6"/>
        <v>2353.4</v>
      </c>
      <c r="BE16" s="120">
        <f>IF(AND($F$8&lt;4,BD16&lt;&gt;""),HLOOKUP(MATCH(ER16,EZ16:FB16,0),Discards,1,FALSE),"")</f>
      </c>
      <c r="BF16" s="117">
        <f t="shared" si="50"/>
        <v>2353.4</v>
      </c>
      <c r="BG16" s="118">
        <f ca="1">IF(OR(AW16&lt;&gt;"",AY16&lt;&gt;""),RANK(BF16,BF$11:INDIRECT(BF$7,FALSE)),"")</f>
        <v>23</v>
      </c>
      <c r="BH16" s="119"/>
      <c r="BI16" s="5">
        <v>67.29</v>
      </c>
      <c r="BJ16" s="113">
        <f t="shared" si="7"/>
        <v>67.29</v>
      </c>
      <c r="BK16" s="21"/>
      <c r="BL16" s="114">
        <f t="shared" si="51"/>
        <v>729.5</v>
      </c>
      <c r="BM16" s="114">
        <f t="shared" si="52"/>
        <v>729.5</v>
      </c>
      <c r="BN16" s="115">
        <f ca="1">IF(OR(BI16&lt;&gt;"",BK16&lt;&gt;""),RANK(BM16,BM$11:INDIRECT(BM$7,FALSE)),"")</f>
        <v>26</v>
      </c>
      <c r="BO16" s="116"/>
      <c r="BP16" s="117">
        <f t="shared" si="8"/>
        <v>3082.9</v>
      </c>
      <c r="BQ16" s="120">
        <f>IF(AND($F$8&lt;5,BP16&lt;&gt;""),HLOOKUP(MATCH(ES16,EZ16:FC16,0),Discards,1,FALSE),"")</f>
      </c>
      <c r="BR16" s="117">
        <f t="shared" si="53"/>
        <v>3082.9</v>
      </c>
      <c r="BS16" s="118">
        <f ca="1">IF(OR(BI16&lt;&gt;"",BK16&lt;&gt;""),RANK(BR16,BR$11:INDIRECT(BR$7,FALSE)),"")</f>
        <v>25</v>
      </c>
      <c r="BT16" s="119"/>
      <c r="BU16" s="5">
        <v>57.79</v>
      </c>
      <c r="BV16" s="113">
        <f t="shared" si="9"/>
        <v>57.79</v>
      </c>
      <c r="BW16" s="21"/>
      <c r="BX16" s="114">
        <f t="shared" si="54"/>
        <v>791.3</v>
      </c>
      <c r="BY16" s="114">
        <f t="shared" si="55"/>
        <v>791.3</v>
      </c>
      <c r="BZ16" s="115">
        <f ca="1">IF(OR(BU16&lt;&gt;"",BW16&lt;&gt;""),RANK(BY16,BY$11:INDIRECT(BY$7,FALSE)),"")</f>
        <v>17</v>
      </c>
      <c r="CA16" s="116"/>
      <c r="CB16" s="117">
        <f t="shared" si="10"/>
        <v>3166.7</v>
      </c>
      <c r="CC16" s="120">
        <f>IF(AND($F$8&lt;6,CB16&lt;&gt;""),HLOOKUP(MATCH(ET16,EZ16:FD16,0),Discards,1,FALSE),"")</f>
        <v>2</v>
      </c>
      <c r="CD16" s="117">
        <f t="shared" si="56"/>
        <v>3166.7</v>
      </c>
      <c r="CE16" s="118">
        <f ca="1">IF(OR(BU16&lt;&gt;"",BW16&lt;&gt;""),RANK(CD16,CD$11:INDIRECT(CD$7,FALSE)),"")</f>
        <v>24</v>
      </c>
      <c r="CF16" s="119"/>
      <c r="CG16" s="5">
        <v>64.87</v>
      </c>
      <c r="CH16" s="113">
        <f t="shared" si="11"/>
        <v>64.87</v>
      </c>
      <c r="CI16" s="21"/>
      <c r="CJ16" s="114">
        <f t="shared" si="57"/>
        <v>760.8</v>
      </c>
      <c r="CK16" s="114">
        <f t="shared" si="58"/>
        <v>760.8</v>
      </c>
      <c r="CL16" s="115">
        <f ca="1">IF(OR(CG16&lt;&gt;"",CI16&lt;&gt;""),RANK(CK16,CK$11:INDIRECT(CK$7,FALSE)),"")</f>
        <v>22</v>
      </c>
      <c r="CM16" s="116"/>
      <c r="CN16" s="117">
        <f t="shared" si="12"/>
        <v>3927.5</v>
      </c>
      <c r="CO16" s="120">
        <f>IF(AND($F$8&lt;7,CN16&lt;&gt;""),HLOOKUP(MATCH(EU16,EZ16:FE16,0),Discards,1,FALSE),"")</f>
        <v>2</v>
      </c>
      <c r="CP16" s="117">
        <f t="shared" si="59"/>
        <v>3927.5</v>
      </c>
      <c r="CQ16" s="118">
        <f ca="1">IF(OR(CG16&lt;&gt;"",CI16&lt;&gt;""),RANK(CP16,CP$11:INDIRECT(CP$7,FALSE)),"")</f>
        <v>24</v>
      </c>
      <c r="CR16" s="119"/>
      <c r="CS16" s="5">
        <v>62.89</v>
      </c>
      <c r="CT16" s="113">
        <f t="shared" si="13"/>
        <v>62.89</v>
      </c>
      <c r="CU16" s="21"/>
      <c r="CV16" s="114">
        <f t="shared" si="60"/>
        <v>635.7</v>
      </c>
      <c r="CW16" s="114">
        <f t="shared" si="61"/>
        <v>635.7</v>
      </c>
      <c r="CX16" s="115">
        <f ca="1">IF(OR(CS16&lt;&gt;"",CU16&lt;&gt;""),RANK(CW16,CW$11:INDIRECT(CW$7,FALSE)),"")</f>
        <v>24</v>
      </c>
      <c r="CY16" s="116"/>
      <c r="CZ16" s="117">
        <f t="shared" si="14"/>
        <v>4635</v>
      </c>
      <c r="DA16" s="120">
        <f>IF(AND($F$8&lt;8,CZ16&lt;&gt;""),HLOOKUP(MATCH(EV16,EZ16:FF16,0),Discards,1,FALSE),"")</f>
        <v>7</v>
      </c>
      <c r="DB16" s="117">
        <f t="shared" si="62"/>
        <v>4635</v>
      </c>
      <c r="DC16" s="118">
        <f ca="1">IF(OR(CS16&lt;&gt;"",CU16&lt;&gt;""),RANK(DB16,DB$11:INDIRECT(DB$7,FALSE)),"")</f>
        <v>25</v>
      </c>
      <c r="DD16" s="119"/>
      <c r="DE16" s="5">
        <v>53.68</v>
      </c>
      <c r="DF16" s="113">
        <f t="shared" si="15"/>
        <v>53.68</v>
      </c>
      <c r="DG16" s="21"/>
      <c r="DH16" s="114">
        <f t="shared" si="63"/>
        <v>803.8</v>
      </c>
      <c r="DI16" s="114">
        <f t="shared" si="64"/>
        <v>803.8</v>
      </c>
      <c r="DJ16" s="115">
        <f ca="1">IF(OR(DE16&lt;&gt;"",DG16&lt;&gt;""),RANK(DI16,DI$11:INDIRECT(DI$7,FALSE)),"")</f>
        <v>13</v>
      </c>
      <c r="DK16" s="116"/>
      <c r="DL16" s="117">
        <f t="shared" si="16"/>
        <v>5438.8</v>
      </c>
      <c r="DM16" s="120">
        <f>IF(AND($F$8&lt;9,DL16&lt;&gt;""),HLOOKUP(MATCH(EW16,EZ16:FG16,0),Discards,1,FALSE),"")</f>
        <v>7</v>
      </c>
      <c r="DN16" s="117">
        <f t="shared" si="65"/>
        <v>5438.8</v>
      </c>
      <c r="DO16" s="118">
        <f ca="1">IF(OR(DE16&lt;&gt;"",DG16&lt;&gt;""),RANK(DN16,DN$11:INDIRECT(DN$7,FALSE)),"")</f>
        <v>24</v>
      </c>
      <c r="DP16" s="119"/>
      <c r="DQ16" s="5">
        <v>64.37</v>
      </c>
      <c r="DR16" s="113">
        <f t="shared" si="17"/>
        <v>64.37</v>
      </c>
      <c r="DS16" s="21"/>
      <c r="DT16" s="114">
        <f t="shared" si="66"/>
        <v>676.7</v>
      </c>
      <c r="DU16" s="114">
        <f t="shared" si="67"/>
        <v>676.7</v>
      </c>
      <c r="DV16" s="115">
        <f ca="1">IF(OR(DQ16&lt;&gt;"",DS16&lt;&gt;""),RANK(DU16,DU$11:INDIRECT(DU$7,FALSE)),"")</f>
        <v>25</v>
      </c>
      <c r="DW16" s="116"/>
      <c r="DX16" s="117">
        <f t="shared" si="18"/>
        <v>6115.5</v>
      </c>
      <c r="DY16" s="120">
        <f>IF(AND($F$8&lt;10,DX16&lt;&gt;""),HLOOKUP(MATCH(EX16,EZ16:FH16,0),Discards,1,FALSE),"")</f>
        <v>7</v>
      </c>
      <c r="DZ16" s="117">
        <f t="shared" si="68"/>
        <v>6115.5</v>
      </c>
      <c r="EA16" s="118">
        <f ca="1">IF(OR(DQ16&lt;&gt;"",DS16&lt;&gt;""),RANK(DZ16,DZ$11:INDIRECT(DZ$7,FALSE)),"")</f>
        <v>24</v>
      </c>
      <c r="EB16" s="119"/>
      <c r="EC16" s="5"/>
      <c r="ED16" s="113">
        <f t="shared" si="19"/>
      </c>
      <c r="EE16" s="21"/>
      <c r="EF16" s="114">
        <f t="shared" si="69"/>
      </c>
      <c r="EG16" s="114">
        <f t="shared" si="70"/>
        <v>0</v>
      </c>
      <c r="EH16" s="115">
        <f ca="1">IF(OR(EC16&lt;&gt;"",EE16&lt;&gt;""),RANK(EG16,EG$11:INDIRECT(EG$7,FALSE)),"")</f>
      </c>
      <c r="EI16" s="116"/>
      <c r="EJ16" s="117">
        <f t="shared" si="20"/>
      </c>
      <c r="EK16" s="120">
        <f>IF(AND($F$8&lt;11,EJ16&lt;&gt;""),HLOOKUP(MATCH(EY16,EZ16:FI16,0),Discards,1,FALSE),"")</f>
      </c>
      <c r="EL16" s="117">
        <f t="shared" si="71"/>
        <v>0</v>
      </c>
      <c r="EM16" s="118">
        <f ca="1">IF(OR(EC16&lt;&gt;"",EE16&lt;&gt;""),RANK(EL16,EL$11:INDIRECT(EL$7,FALSE)),"")</f>
      </c>
      <c r="EN16" s="121"/>
      <c r="EP16" s="112">
        <f t="shared" si="72"/>
        <v>1</v>
      </c>
      <c r="EQ16" s="28">
        <f>MIN($EZ16:FA16)</f>
        <v>707.5</v>
      </c>
      <c r="ER16" s="28">
        <f>MIN($EZ16:FB16)</f>
        <v>707.5</v>
      </c>
      <c r="ES16" s="28">
        <f>MIN($EZ16:FC16)</f>
        <v>707.5</v>
      </c>
      <c r="ET16" s="28">
        <f>MIN($EZ16:FD16)</f>
        <v>707.5</v>
      </c>
      <c r="EU16" s="28">
        <f>MIN($EZ16:FE16)</f>
        <v>707.5</v>
      </c>
      <c r="EV16" s="28">
        <f>MIN($EZ16:FF16)</f>
        <v>635.7</v>
      </c>
      <c r="EW16" s="28">
        <f>MIN($EZ16:FG16)</f>
        <v>635.7</v>
      </c>
      <c r="EX16" s="28">
        <f>MIN($EZ16:FH16)</f>
        <v>635.7</v>
      </c>
      <c r="EY16" s="28">
        <f>MIN($EZ16:FI16)</f>
        <v>635.7</v>
      </c>
      <c r="EZ16" s="28">
        <f t="shared" si="21"/>
        <v>931.4</v>
      </c>
      <c r="FA16" s="28">
        <f t="shared" si="22"/>
        <v>707.5</v>
      </c>
      <c r="FB16" s="28">
        <f t="shared" si="23"/>
        <v>714.5</v>
      </c>
      <c r="FC16" s="28">
        <f t="shared" si="24"/>
        <v>729.5</v>
      </c>
      <c r="FD16" s="28">
        <f t="shared" si="25"/>
        <v>791.3</v>
      </c>
      <c r="FE16" s="28">
        <f t="shared" si="26"/>
        <v>760.8</v>
      </c>
      <c r="FF16" s="28">
        <f t="shared" si="27"/>
        <v>635.7</v>
      </c>
      <c r="FG16" s="28">
        <f t="shared" si="28"/>
        <v>803.8</v>
      </c>
      <c r="FH16" s="28">
        <f t="shared" si="29"/>
        <v>676.7</v>
      </c>
      <c r="FI16" s="28">
        <f t="shared" si="30"/>
      </c>
      <c r="FL16" s="26">
        <f t="shared" si="73"/>
        <v>255000000</v>
      </c>
      <c r="FM16" s="26">
        <f t="shared" si="93"/>
        <v>255000</v>
      </c>
      <c r="FN16" s="26">
        <f t="shared" si="94"/>
        <v>255</v>
      </c>
      <c r="FO16" s="26">
        <f>IF(C16&lt;&gt;"",SUM(FL16:FN16),0)</f>
        <v>255255255</v>
      </c>
      <c r="FP16" s="26">
        <f ca="1">IF(FO16&gt;0,SMALL($FO$11:INDIRECT($FO$7,FALSE),A16),0)</f>
        <v>255255255</v>
      </c>
      <c r="FQ16" s="26">
        <f t="shared" si="74"/>
        <v>255</v>
      </c>
      <c r="FR16" s="26">
        <f t="shared" si="75"/>
        <v>255</v>
      </c>
      <c r="FS16" s="26">
        <f t="shared" si="76"/>
        <v>255</v>
      </c>
      <c r="FT16" s="26">
        <f t="shared" si="77"/>
      </c>
      <c r="FU16" s="26">
        <f t="shared" si="78"/>
        <v>24</v>
      </c>
      <c r="FV16" s="28">
        <f t="shared" si="31"/>
      </c>
      <c r="FW16" s="26">
        <f t="shared" si="92"/>
      </c>
      <c r="FX16" s="28">
        <f t="shared" si="79"/>
      </c>
      <c r="FY16" s="26">
        <f ca="1">IF(FX16&lt;&gt;"",RANK(FX16,FX$11:INDIRECT(FX$7,FALSE)),"")</f>
      </c>
      <c r="FZ16" s="26">
        <f t="shared" si="80"/>
      </c>
      <c r="GA16" s="26">
        <f t="shared" si="81"/>
      </c>
      <c r="GC16" s="27">
        <f t="shared" si="32"/>
      </c>
      <c r="GD16" s="27">
        <f t="shared" si="33"/>
      </c>
      <c r="GE16" s="27">
        <f t="shared" si="82"/>
      </c>
      <c r="GF16" s="27">
        <f t="shared" si="83"/>
      </c>
      <c r="GG16" s="27">
        <f t="shared" si="84"/>
        <v>0</v>
      </c>
      <c r="GH16" s="26">
        <f t="shared" si="85"/>
        <v>0</v>
      </c>
      <c r="GI16" s="26">
        <f t="shared" si="86"/>
        <v>0</v>
      </c>
      <c r="GJ16" s="26">
        <f t="shared" si="87"/>
        <v>0</v>
      </c>
      <c r="GK16" s="26">
        <f t="shared" si="88"/>
      </c>
      <c r="GL16" s="28">
        <f t="shared" si="89"/>
      </c>
      <c r="GM16" s="26">
        <f t="shared" si="90"/>
      </c>
    </row>
    <row r="17" spans="1:195" ht="12.75">
      <c r="A17" s="16">
        <f t="shared" si="91"/>
        <v>7</v>
      </c>
      <c r="B17" s="17"/>
      <c r="C17" s="18" t="s">
        <v>157</v>
      </c>
      <c r="D17" s="19" t="s">
        <v>127</v>
      </c>
      <c r="E17" s="18" t="s">
        <v>105</v>
      </c>
      <c r="F17" s="18"/>
      <c r="G17" s="148"/>
      <c r="H17" s="122">
        <f t="shared" si="34"/>
      </c>
      <c r="I17" s="30">
        <f t="shared" si="35"/>
        <v>7069.8</v>
      </c>
      <c r="J17" s="30">
        <f>AD17+AO17+BA17+BM17+BY17+CK17+CW17+DI17+DU17+EG17-(MIN(EZ17:FI17)*$EY$2)</f>
        <v>7069.8</v>
      </c>
      <c r="K17" s="139">
        <f ca="1">IF(I17&lt;&gt;"",RANK(I17,J$11:INDIRECT(J$7,FALSE)),"")</f>
        <v>5</v>
      </c>
      <c r="L17" s="102">
        <f t="shared" si="36"/>
      </c>
      <c r="M17" s="102">
        <f t="shared" si="37"/>
        <v>0</v>
      </c>
      <c r="N17" s="51">
        <f t="shared" si="1"/>
      </c>
      <c r="O17" s="150"/>
      <c r="P17" s="151">
        <f t="shared" si="38"/>
      </c>
      <c r="Q17" s="152"/>
      <c r="R17" s="153">
        <f t="shared" si="39"/>
      </c>
      <c r="S17" s="153">
        <f t="shared" si="40"/>
        <v>0</v>
      </c>
      <c r="T17" s="154">
        <f ca="1">IF(OR(O17&lt;&gt;"",Q17&lt;&gt;""),RANK(S17,S$11:INDIRECT(S$7,FALSE)),"")</f>
      </c>
      <c r="U17" s="155"/>
      <c r="V17" s="156"/>
      <c r="W17" s="156"/>
      <c r="X17" s="157"/>
      <c r="Y17" s="158"/>
      <c r="Z17" s="227">
        <v>57.89</v>
      </c>
      <c r="AA17" s="103">
        <f t="shared" si="41"/>
        <v>57.89</v>
      </c>
      <c r="AB17" s="20"/>
      <c r="AC17" s="104">
        <f t="shared" si="42"/>
        <v>944.9</v>
      </c>
      <c r="AD17" s="104">
        <f t="shared" si="43"/>
        <v>944.9</v>
      </c>
      <c r="AE17" s="105">
        <f ca="1">IF(OR(Z17&lt;&gt;"",AB17&lt;&gt;""),RANK(AD17,AD$11:INDIRECT(AD$7,FALSE)),"")</f>
        <v>3</v>
      </c>
      <c r="AF17" s="106"/>
      <c r="AG17" s="107">
        <f t="shared" si="44"/>
        <v>944.9</v>
      </c>
      <c r="AH17" s="107">
        <f t="shared" si="45"/>
        <v>944.9</v>
      </c>
      <c r="AI17" s="108">
        <f ca="1">IF(OR(Z17&lt;&gt;"",AB17&lt;&gt;""),RANK(AH17,AH$11:INDIRECT(AH$7,FALSE)),"")</f>
        <v>3</v>
      </c>
      <c r="AJ17" s="109"/>
      <c r="AK17" s="4">
        <v>57.94</v>
      </c>
      <c r="AL17" s="103">
        <f t="shared" si="2"/>
        <v>57.94</v>
      </c>
      <c r="AM17" s="20"/>
      <c r="AN17" s="104">
        <f t="shared" si="46"/>
        <v>899.7</v>
      </c>
      <c r="AO17" s="104">
        <f t="shared" si="47"/>
        <v>899.7</v>
      </c>
      <c r="AP17" s="105">
        <f ca="1">IF(OR(AK17&lt;&gt;"",AM17&lt;&gt;""),RANK(AO17,AO$11:INDIRECT(AO$7,FALSE)),"")</f>
        <v>5</v>
      </c>
      <c r="AQ17" s="106"/>
      <c r="AR17" s="107">
        <f t="shared" si="3"/>
        <v>1844.6</v>
      </c>
      <c r="AS17" s="110">
        <f>IF(AND($F$8&lt;3,AR17&lt;&gt;""),HLOOKUP(MATCH(EQ17,EZ17:FA17,0),Discards,1,FALSE),"")</f>
      </c>
      <c r="AT17" s="107">
        <f t="shared" si="4"/>
        <v>1844.6</v>
      </c>
      <c r="AU17" s="108">
        <f ca="1">IF(OR(AK17&lt;&gt;"",AM17&lt;&gt;""),RANK(AT17,AT$11:INDIRECT(AT$7,FALSE)),"")</f>
        <v>3</v>
      </c>
      <c r="AV17" s="109"/>
      <c r="AW17" s="4">
        <v>61.75</v>
      </c>
      <c r="AX17" s="103">
        <f t="shared" si="5"/>
        <v>61.75</v>
      </c>
      <c r="AY17" s="20"/>
      <c r="AZ17" s="104">
        <f t="shared" si="48"/>
        <v>763.7</v>
      </c>
      <c r="BA17" s="104">
        <f t="shared" si="49"/>
        <v>763.7</v>
      </c>
      <c r="BB17" s="105">
        <f ca="1">IF(OR(AW17&lt;&gt;"",AY17&lt;&gt;""),RANK(BA17,BA$11:INDIRECT(BA$7,FALSE)),"")</f>
        <v>22</v>
      </c>
      <c r="BC17" s="106"/>
      <c r="BD17" s="107">
        <f t="shared" si="6"/>
        <v>2608.3</v>
      </c>
      <c r="BE17" s="110">
        <f>IF(AND($F$8&lt;4,BD17&lt;&gt;""),HLOOKUP(MATCH(ER17,EZ17:FB17,0),Discards,1,FALSE),"")</f>
      </c>
      <c r="BF17" s="107">
        <f t="shared" si="50"/>
        <v>2608.3</v>
      </c>
      <c r="BG17" s="108">
        <f ca="1">IF(OR(AW17&lt;&gt;"",AY17&lt;&gt;""),RANK(BF17,BF$11:INDIRECT(BF$7,FALSE)),"")</f>
        <v>7</v>
      </c>
      <c r="BH17" s="109"/>
      <c r="BI17" s="4">
        <v>53.55</v>
      </c>
      <c r="BJ17" s="103">
        <f t="shared" si="7"/>
        <v>53.55</v>
      </c>
      <c r="BK17" s="20"/>
      <c r="BL17" s="104">
        <f t="shared" si="51"/>
        <v>916.7</v>
      </c>
      <c r="BM17" s="104">
        <f t="shared" si="52"/>
        <v>916.7</v>
      </c>
      <c r="BN17" s="105">
        <f ca="1">IF(OR(BI17&lt;&gt;"",BK17&lt;&gt;""),RANK(BM17,BM$11:INDIRECT(BM$7,FALSE)),"")</f>
        <v>8</v>
      </c>
      <c r="BO17" s="106"/>
      <c r="BP17" s="107">
        <f t="shared" si="8"/>
        <v>3525</v>
      </c>
      <c r="BQ17" s="110">
        <f>IF(AND($F$8&lt;5,BP17&lt;&gt;""),HLOOKUP(MATCH(ES17,EZ17:FC17,0),Discards,1,FALSE),"")</f>
      </c>
      <c r="BR17" s="107">
        <f t="shared" si="53"/>
        <v>3525</v>
      </c>
      <c r="BS17" s="108">
        <f ca="1">IF(OR(BI17&lt;&gt;"",BK17&lt;&gt;""),RANK(BR17,BR$11:INDIRECT(BR$7,FALSE)),"")</f>
        <v>7</v>
      </c>
      <c r="BT17" s="109"/>
      <c r="BU17" s="4">
        <v>55.23</v>
      </c>
      <c r="BV17" s="103">
        <f t="shared" si="9"/>
        <v>55.23</v>
      </c>
      <c r="BW17" s="20"/>
      <c r="BX17" s="104">
        <f t="shared" si="54"/>
        <v>828</v>
      </c>
      <c r="BY17" s="104">
        <f t="shared" si="55"/>
        <v>828</v>
      </c>
      <c r="BZ17" s="105">
        <f ca="1">IF(OR(BU17&lt;&gt;"",BW17&lt;&gt;""),RANK(BY17,BY$11:INDIRECT(BY$7,FALSE)),"")</f>
        <v>10</v>
      </c>
      <c r="CA17" s="106"/>
      <c r="CB17" s="107">
        <f t="shared" si="10"/>
        <v>3589.3</v>
      </c>
      <c r="CC17" s="110">
        <f>IF(AND($F$8&lt;6,CB17&lt;&gt;""),HLOOKUP(MATCH(ET17,EZ17:FD17,0),Discards,1,FALSE),"")</f>
        <v>3</v>
      </c>
      <c r="CD17" s="107">
        <f t="shared" si="56"/>
        <v>3589.3</v>
      </c>
      <c r="CE17" s="108">
        <f ca="1">IF(OR(BU17&lt;&gt;"",BW17&lt;&gt;""),RANK(CD17,CD$11:INDIRECT(CD$7,FALSE)),"")</f>
        <v>7</v>
      </c>
      <c r="CF17" s="109"/>
      <c r="CG17" s="4">
        <v>55.85</v>
      </c>
      <c r="CH17" s="103">
        <f t="shared" si="11"/>
        <v>55.85</v>
      </c>
      <c r="CI17" s="20"/>
      <c r="CJ17" s="104">
        <f t="shared" si="57"/>
        <v>883.6</v>
      </c>
      <c r="CK17" s="104">
        <f t="shared" si="58"/>
        <v>883.6</v>
      </c>
      <c r="CL17" s="105">
        <f ca="1">IF(OR(CG17&lt;&gt;"",CI17&lt;&gt;""),RANK(CK17,CK$11:INDIRECT(CK$7,FALSE)),"")</f>
        <v>7</v>
      </c>
      <c r="CM17" s="106"/>
      <c r="CN17" s="107">
        <f t="shared" si="12"/>
        <v>4472.900000000001</v>
      </c>
      <c r="CO17" s="110">
        <f>IF(AND($F$8&lt;7,CN17&lt;&gt;""),HLOOKUP(MATCH(EU17,EZ17:FE17,0),Discards,1,FALSE),"")</f>
        <v>3</v>
      </c>
      <c r="CP17" s="107">
        <f t="shared" si="59"/>
        <v>4472.900000000001</v>
      </c>
      <c r="CQ17" s="108">
        <f ca="1">IF(OR(CG17&lt;&gt;"",CI17&lt;&gt;""),RANK(CP17,CP$11:INDIRECT(CP$7,FALSE)),"")</f>
        <v>8</v>
      </c>
      <c r="CR17" s="109"/>
      <c r="CS17" s="4">
        <v>51.96</v>
      </c>
      <c r="CT17" s="103">
        <f t="shared" si="13"/>
        <v>51.96</v>
      </c>
      <c r="CU17" s="20"/>
      <c r="CV17" s="104">
        <f t="shared" si="60"/>
        <v>769.4</v>
      </c>
      <c r="CW17" s="104">
        <f t="shared" si="61"/>
        <v>769.4</v>
      </c>
      <c r="CX17" s="105">
        <f ca="1">IF(OR(CS17&lt;&gt;"",CU17&lt;&gt;""),RANK(CW17,CW$11:INDIRECT(CW$7,FALSE)),"")</f>
        <v>8</v>
      </c>
      <c r="CY17" s="106"/>
      <c r="CZ17" s="107">
        <f t="shared" si="14"/>
        <v>5242.3</v>
      </c>
      <c r="DA17" s="110">
        <f>IF(AND($F$8&lt;8,CZ17&lt;&gt;""),HLOOKUP(MATCH(EV17,EZ17:FF17,0),Discards,1,FALSE),"")</f>
        <v>3</v>
      </c>
      <c r="DB17" s="107">
        <f t="shared" si="62"/>
        <v>5242.3</v>
      </c>
      <c r="DC17" s="108">
        <f ca="1">IF(OR(CS17&lt;&gt;"",CU17&lt;&gt;""),RANK(DB17,DB$11:INDIRECT(DB$7,FALSE)),"")</f>
        <v>9</v>
      </c>
      <c r="DD17" s="109"/>
      <c r="DE17" s="4">
        <v>43.15</v>
      </c>
      <c r="DF17" s="103">
        <f t="shared" si="15"/>
        <v>43.15</v>
      </c>
      <c r="DG17" s="20"/>
      <c r="DH17" s="104">
        <f t="shared" si="63"/>
        <v>1000</v>
      </c>
      <c r="DI17" s="104">
        <f t="shared" si="64"/>
        <v>1000</v>
      </c>
      <c r="DJ17" s="105">
        <f ca="1">IF(OR(DE17&lt;&gt;"",DG17&lt;&gt;""),RANK(DI17,DI$11:INDIRECT(DI$7,FALSE)),"")</f>
        <v>1</v>
      </c>
      <c r="DK17" s="106"/>
      <c r="DL17" s="107">
        <f t="shared" si="16"/>
        <v>6242.3</v>
      </c>
      <c r="DM17" s="110">
        <f>IF(AND($F$8&lt;9,DL17&lt;&gt;""),HLOOKUP(MATCH(EW17,EZ17:FG17,0),Discards,1,FALSE),"")</f>
        <v>3</v>
      </c>
      <c r="DN17" s="107">
        <f t="shared" si="65"/>
        <v>6242.3</v>
      </c>
      <c r="DO17" s="108">
        <f ca="1">IF(OR(DE17&lt;&gt;"",DG17&lt;&gt;""),RANK(DN17,DN$11:INDIRECT(DN$7,FALSE)),"")</f>
        <v>4</v>
      </c>
      <c r="DP17" s="109"/>
      <c r="DQ17" s="4">
        <v>52.64</v>
      </c>
      <c r="DR17" s="103">
        <f t="shared" si="17"/>
        <v>52.64</v>
      </c>
      <c r="DS17" s="20"/>
      <c r="DT17" s="104">
        <f t="shared" si="66"/>
        <v>827.5</v>
      </c>
      <c r="DU17" s="104">
        <f t="shared" si="67"/>
        <v>827.5</v>
      </c>
      <c r="DV17" s="105">
        <f ca="1">IF(OR(DQ17&lt;&gt;"",DS17&lt;&gt;""),RANK(DU17,DU$11:INDIRECT(DU$7,FALSE)),"")</f>
        <v>13</v>
      </c>
      <c r="DW17" s="106"/>
      <c r="DX17" s="107">
        <f t="shared" si="18"/>
        <v>7069.8</v>
      </c>
      <c r="DY17" s="110">
        <f>IF(AND($F$8&lt;10,DX17&lt;&gt;""),HLOOKUP(MATCH(EX17,EZ17:FH17,0),Discards,1,FALSE),"")</f>
        <v>3</v>
      </c>
      <c r="DZ17" s="107">
        <f t="shared" si="68"/>
        <v>7069.8</v>
      </c>
      <c r="EA17" s="108">
        <f ca="1">IF(OR(DQ17&lt;&gt;"",DS17&lt;&gt;""),RANK(DZ17,DZ$11:INDIRECT(DZ$7,FALSE)),"")</f>
        <v>5</v>
      </c>
      <c r="EB17" s="109"/>
      <c r="EC17" s="4"/>
      <c r="ED17" s="103">
        <f t="shared" si="19"/>
      </c>
      <c r="EE17" s="20"/>
      <c r="EF17" s="104">
        <f t="shared" si="69"/>
      </c>
      <c r="EG17" s="104">
        <f t="shared" si="70"/>
        <v>0</v>
      </c>
      <c r="EH17" s="105">
        <f ca="1">IF(OR(EC17&lt;&gt;"",EE17&lt;&gt;""),RANK(EG17,EG$11:INDIRECT(EG$7,FALSE)),"")</f>
      </c>
      <c r="EI17" s="106"/>
      <c r="EJ17" s="107">
        <f t="shared" si="20"/>
      </c>
      <c r="EK17" s="110">
        <f>IF(AND($F$8&lt;11,EJ17&lt;&gt;""),HLOOKUP(MATCH(EY17,EZ17:FI17,0),Discards,1,FALSE),"")</f>
      </c>
      <c r="EL17" s="107">
        <f t="shared" si="71"/>
        <v>0</v>
      </c>
      <c r="EM17" s="108">
        <f ca="1">IF(OR(EC17&lt;&gt;"",EE17&lt;&gt;""),RANK(EL17,EL$11:INDIRECT(EL$7,FALSE)),"")</f>
      </c>
      <c r="EN17" s="111"/>
      <c r="EP17" s="112">
        <f t="shared" si="72"/>
        <v>1</v>
      </c>
      <c r="EQ17" s="28">
        <f>MIN($EZ17:FA17)</f>
        <v>899.7</v>
      </c>
      <c r="ER17" s="28">
        <f>MIN($EZ17:FB17)</f>
        <v>763.7</v>
      </c>
      <c r="ES17" s="28">
        <f>MIN($EZ17:FC17)</f>
        <v>763.7</v>
      </c>
      <c r="ET17" s="28">
        <f>MIN($EZ17:FD17)</f>
        <v>763.7</v>
      </c>
      <c r="EU17" s="28">
        <f>MIN($EZ17:FE17)</f>
        <v>763.7</v>
      </c>
      <c r="EV17" s="28">
        <f>MIN($EZ17:FF17)</f>
        <v>763.7</v>
      </c>
      <c r="EW17" s="28">
        <f>MIN($EZ17:FG17)</f>
        <v>763.7</v>
      </c>
      <c r="EX17" s="28">
        <f>MIN($EZ17:FH17)</f>
        <v>763.7</v>
      </c>
      <c r="EY17" s="28">
        <f>MIN($EZ17:FI17)</f>
        <v>763.7</v>
      </c>
      <c r="EZ17" s="28">
        <f t="shared" si="21"/>
        <v>944.9</v>
      </c>
      <c r="FA17" s="28">
        <f t="shared" si="22"/>
        <v>899.7</v>
      </c>
      <c r="FB17" s="28">
        <f t="shared" si="23"/>
        <v>763.7</v>
      </c>
      <c r="FC17" s="28">
        <f t="shared" si="24"/>
        <v>916.7</v>
      </c>
      <c r="FD17" s="28">
        <f t="shared" si="25"/>
        <v>828</v>
      </c>
      <c r="FE17" s="28">
        <f t="shared" si="26"/>
        <v>883.6</v>
      </c>
      <c r="FF17" s="28">
        <f t="shared" si="27"/>
        <v>769.4</v>
      </c>
      <c r="FG17" s="28">
        <f t="shared" si="28"/>
        <v>1000</v>
      </c>
      <c r="FH17" s="28">
        <f t="shared" si="29"/>
        <v>827.5</v>
      </c>
      <c r="FI17" s="28">
        <f t="shared" si="30"/>
      </c>
      <c r="FL17" s="26">
        <f t="shared" si="73"/>
        <v>255000000</v>
      </c>
      <c r="FM17" s="26">
        <f t="shared" si="93"/>
        <v>255000</v>
      </c>
      <c r="FN17" s="26">
        <f t="shared" si="94"/>
        <v>255</v>
      </c>
      <c r="FO17" s="26">
        <f>IF(C17&lt;&gt;"",SUM(FL17:FN17),0)</f>
        <v>255255255</v>
      </c>
      <c r="FP17" s="26">
        <f ca="1">IF(FO17&gt;0,SMALL($FO$11:INDIRECT($FO$7,FALSE),A17),0)</f>
        <v>255255255</v>
      </c>
      <c r="FQ17" s="26">
        <f t="shared" si="74"/>
        <v>255</v>
      </c>
      <c r="FR17" s="26">
        <f t="shared" si="75"/>
        <v>255</v>
      </c>
      <c r="FS17" s="26">
        <f t="shared" si="76"/>
        <v>255</v>
      </c>
      <c r="FT17" s="26">
        <f t="shared" si="77"/>
      </c>
      <c r="FU17" s="26">
        <f t="shared" si="78"/>
        <v>24</v>
      </c>
      <c r="FV17" s="28">
        <f t="shared" si="31"/>
      </c>
      <c r="FW17" s="26">
        <f t="shared" si="92"/>
      </c>
      <c r="FX17" s="28">
        <f t="shared" si="79"/>
      </c>
      <c r="FY17" s="26">
        <f ca="1">IF(FX17&lt;&gt;"",RANK(FX17,FX$11:INDIRECT(FX$7,FALSE)),"")</f>
      </c>
      <c r="FZ17" s="26">
        <f t="shared" si="80"/>
      </c>
      <c r="GA17" s="26">
        <f t="shared" si="81"/>
      </c>
      <c r="GC17" s="27">
        <f t="shared" si="32"/>
      </c>
      <c r="GD17" s="27">
        <f t="shared" si="33"/>
      </c>
      <c r="GE17" s="27">
        <f t="shared" si="82"/>
      </c>
      <c r="GF17" s="27">
        <f t="shared" si="83"/>
      </c>
      <c r="GG17" s="27">
        <f t="shared" si="84"/>
        <v>0</v>
      </c>
      <c r="GH17" s="26">
        <f t="shared" si="85"/>
        <v>0</v>
      </c>
      <c r="GI17" s="26">
        <f t="shared" si="86"/>
        <v>0</v>
      </c>
      <c r="GJ17" s="26">
        <f t="shared" si="87"/>
        <v>0</v>
      </c>
      <c r="GK17" s="26">
        <f t="shared" si="88"/>
      </c>
      <c r="GL17" s="28">
        <f t="shared" si="89"/>
      </c>
      <c r="GM17" s="26">
        <f t="shared" si="90"/>
      </c>
    </row>
    <row r="18" spans="1:195" ht="12.75">
      <c r="A18" s="16">
        <f t="shared" si="91"/>
        <v>8</v>
      </c>
      <c r="B18" s="17"/>
      <c r="C18" s="18" t="s">
        <v>111</v>
      </c>
      <c r="D18" s="19" t="s">
        <v>112</v>
      </c>
      <c r="E18" s="18" t="s">
        <v>118</v>
      </c>
      <c r="F18" s="18"/>
      <c r="G18" s="148"/>
      <c r="H18" s="122">
        <f t="shared" si="34"/>
      </c>
      <c r="I18" s="30">
        <f t="shared" si="35"/>
        <v>6607.199999999999</v>
      </c>
      <c r="J18" s="30">
        <f>AD18+AO18+BA18+BM18+BY18+CK18+CW18+DI18+DU18+EG18-(MIN(EZ18:FI18)*$EY$2)</f>
        <v>6607.199999999999</v>
      </c>
      <c r="K18" s="139">
        <f ca="1">IF(I18&lt;&gt;"",RANK(I18,J$11:INDIRECT(J$7,FALSE)),"")</f>
        <v>18</v>
      </c>
      <c r="L18" s="102">
        <f t="shared" si="36"/>
      </c>
      <c r="M18" s="102">
        <f t="shared" si="37"/>
        <v>0</v>
      </c>
      <c r="N18" s="51">
        <f t="shared" si="1"/>
      </c>
      <c r="O18" s="150"/>
      <c r="P18" s="151">
        <f t="shared" si="38"/>
      </c>
      <c r="Q18" s="152"/>
      <c r="R18" s="153">
        <f t="shared" si="39"/>
      </c>
      <c r="S18" s="153">
        <f t="shared" si="40"/>
        <v>0</v>
      </c>
      <c r="T18" s="154">
        <f ca="1">IF(OR(O18&lt;&gt;"",Q18&lt;&gt;""),RANK(S18,S$11:INDIRECT(S$7,FALSE)),"")</f>
      </c>
      <c r="U18" s="155"/>
      <c r="V18" s="156"/>
      <c r="W18" s="156"/>
      <c r="X18" s="157"/>
      <c r="Y18" s="158"/>
      <c r="Z18" s="227">
        <v>72.3</v>
      </c>
      <c r="AA18" s="103">
        <f t="shared" si="41"/>
        <v>72.3</v>
      </c>
      <c r="AB18" s="20"/>
      <c r="AC18" s="104">
        <f t="shared" si="42"/>
        <v>756.6</v>
      </c>
      <c r="AD18" s="104">
        <f t="shared" si="43"/>
        <v>756.6</v>
      </c>
      <c r="AE18" s="105">
        <f ca="1">IF(OR(Z18&lt;&gt;"",AB18&lt;&gt;""),RANK(AD18,AD$11:INDIRECT(AD$7,FALSE)),"")</f>
        <v>22</v>
      </c>
      <c r="AF18" s="106"/>
      <c r="AG18" s="107">
        <f t="shared" si="44"/>
        <v>756.6</v>
      </c>
      <c r="AH18" s="107">
        <f t="shared" si="45"/>
        <v>756.6</v>
      </c>
      <c r="AI18" s="108">
        <f ca="1">IF(OR(Z18&lt;&gt;"",AB18&lt;&gt;""),RANK(AH18,AH$11:INDIRECT(AH$7,FALSE)),"")</f>
        <v>22</v>
      </c>
      <c r="AJ18" s="109"/>
      <c r="AK18" s="4">
        <v>66.89</v>
      </c>
      <c r="AL18" s="103">
        <f t="shared" si="2"/>
        <v>66.89</v>
      </c>
      <c r="AM18" s="20"/>
      <c r="AN18" s="104">
        <f t="shared" si="46"/>
        <v>779.3</v>
      </c>
      <c r="AO18" s="104">
        <f t="shared" si="47"/>
        <v>779.3</v>
      </c>
      <c r="AP18" s="105">
        <f ca="1">IF(OR(AK18&lt;&gt;"",AM18&lt;&gt;""),RANK(AO18,AO$11:INDIRECT(AO$7,FALSE)),"")</f>
        <v>21</v>
      </c>
      <c r="AQ18" s="106"/>
      <c r="AR18" s="107">
        <f t="shared" si="3"/>
        <v>1535.9</v>
      </c>
      <c r="AS18" s="110">
        <f>IF(AND($F$8&lt;3,AR18&lt;&gt;""),HLOOKUP(MATCH(EQ18,EZ18:FA18,0),Discards,1,FALSE),"")</f>
      </c>
      <c r="AT18" s="107">
        <f t="shared" si="4"/>
        <v>1535.9</v>
      </c>
      <c r="AU18" s="108">
        <f ca="1">IF(OR(AK18&lt;&gt;"",AM18&lt;&gt;""),RANK(AT18,AT$11:INDIRECT(AT$7,FALSE)),"")</f>
        <v>22</v>
      </c>
      <c r="AV18" s="109"/>
      <c r="AW18" s="4">
        <v>55.14</v>
      </c>
      <c r="AX18" s="103">
        <f t="shared" si="5"/>
        <v>55.14</v>
      </c>
      <c r="AY18" s="20"/>
      <c r="AZ18" s="104">
        <f t="shared" si="48"/>
        <v>855.3</v>
      </c>
      <c r="BA18" s="104">
        <f t="shared" si="49"/>
        <v>855.3</v>
      </c>
      <c r="BB18" s="105">
        <f ca="1">IF(OR(AW18&lt;&gt;"",AY18&lt;&gt;""),RANK(BA18,BA$11:INDIRECT(BA$7,FALSE)),"")</f>
        <v>8</v>
      </c>
      <c r="BC18" s="106"/>
      <c r="BD18" s="107">
        <f t="shared" si="6"/>
        <v>2391.2</v>
      </c>
      <c r="BE18" s="110">
        <f>IF(AND($F$8&lt;4,BD18&lt;&gt;""),HLOOKUP(MATCH(ER18,EZ18:FB18,0),Discards,1,FALSE),"")</f>
      </c>
      <c r="BF18" s="107">
        <f t="shared" si="50"/>
        <v>2391.2</v>
      </c>
      <c r="BG18" s="108">
        <f ca="1">IF(OR(AW18&lt;&gt;"",AY18&lt;&gt;""),RANK(BF18,BF$11:INDIRECT(BF$7,FALSE)),"")</f>
        <v>22</v>
      </c>
      <c r="BH18" s="109"/>
      <c r="BI18" s="4">
        <v>54.16</v>
      </c>
      <c r="BJ18" s="103">
        <f t="shared" si="7"/>
        <v>54.16</v>
      </c>
      <c r="BK18" s="20"/>
      <c r="BL18" s="104">
        <f t="shared" si="51"/>
        <v>906.4</v>
      </c>
      <c r="BM18" s="104">
        <f t="shared" si="52"/>
        <v>906.4</v>
      </c>
      <c r="BN18" s="105">
        <f ca="1">IF(OR(BI18&lt;&gt;"",BK18&lt;&gt;""),RANK(BM18,BM$11:INDIRECT(BM$7,FALSE)),"")</f>
        <v>10</v>
      </c>
      <c r="BO18" s="106"/>
      <c r="BP18" s="107">
        <f t="shared" si="8"/>
        <v>3297.6</v>
      </c>
      <c r="BQ18" s="110">
        <f>IF(AND($F$8&lt;5,BP18&lt;&gt;""),HLOOKUP(MATCH(ES18,EZ18:FC18,0),Discards,1,FALSE),"")</f>
      </c>
      <c r="BR18" s="107">
        <f t="shared" si="53"/>
        <v>3297.6</v>
      </c>
      <c r="BS18" s="108">
        <f ca="1">IF(OR(BI18&lt;&gt;"",BK18&lt;&gt;""),RANK(BR18,BR$11:INDIRECT(BR$7,FALSE)),"")</f>
        <v>18</v>
      </c>
      <c r="BT18" s="109"/>
      <c r="BU18" s="4">
        <v>56.36</v>
      </c>
      <c r="BV18" s="103">
        <f t="shared" si="9"/>
        <v>56.36</v>
      </c>
      <c r="BW18" s="20"/>
      <c r="BX18" s="104">
        <f t="shared" si="54"/>
        <v>811.4</v>
      </c>
      <c r="BY18" s="104">
        <f t="shared" si="55"/>
        <v>811.4</v>
      </c>
      <c r="BZ18" s="105">
        <f ca="1">IF(OR(BU18&lt;&gt;"",BW18&lt;&gt;""),RANK(BY18,BY$11:INDIRECT(BY$7,FALSE)),"")</f>
        <v>13</v>
      </c>
      <c r="CA18" s="106"/>
      <c r="CB18" s="107">
        <f t="shared" si="10"/>
        <v>3352.4</v>
      </c>
      <c r="CC18" s="110">
        <f>IF(AND($F$8&lt;6,CB18&lt;&gt;""),HLOOKUP(MATCH(ET18,EZ18:FD18,0),Discards,1,FALSE),"")</f>
        <v>1</v>
      </c>
      <c r="CD18" s="107">
        <f t="shared" si="56"/>
        <v>3352.4</v>
      </c>
      <c r="CE18" s="108">
        <f ca="1">IF(OR(BU18&lt;&gt;"",BW18&lt;&gt;""),RANK(CD18,CD$11:INDIRECT(CD$7,FALSE)),"")</f>
        <v>20</v>
      </c>
      <c r="CF18" s="109"/>
      <c r="CG18" s="4">
        <v>60.9</v>
      </c>
      <c r="CH18" s="103">
        <f t="shared" si="11"/>
        <v>60.9</v>
      </c>
      <c r="CI18" s="20"/>
      <c r="CJ18" s="104">
        <f t="shared" si="57"/>
        <v>810.3</v>
      </c>
      <c r="CK18" s="104">
        <f t="shared" si="58"/>
        <v>810.3</v>
      </c>
      <c r="CL18" s="105">
        <f ca="1">IF(OR(CG18&lt;&gt;"",CI18&lt;&gt;""),RANK(CK18,CK$11:INDIRECT(CK$7,FALSE)),"")</f>
        <v>17</v>
      </c>
      <c r="CM18" s="106"/>
      <c r="CN18" s="107">
        <f t="shared" si="12"/>
        <v>4162.7</v>
      </c>
      <c r="CO18" s="110">
        <f>IF(AND($F$8&lt;7,CN18&lt;&gt;""),HLOOKUP(MATCH(EU18,EZ18:FE18,0),Discards,1,FALSE),"")</f>
        <v>1</v>
      </c>
      <c r="CP18" s="107">
        <f t="shared" si="59"/>
        <v>4162.7</v>
      </c>
      <c r="CQ18" s="108">
        <f ca="1">IF(OR(CG18&lt;&gt;"",CI18&lt;&gt;""),RANK(CP18,CP$11:INDIRECT(CP$7,FALSE)),"")</f>
        <v>19</v>
      </c>
      <c r="CR18" s="109"/>
      <c r="CS18" s="4">
        <v>52.11</v>
      </c>
      <c r="CT18" s="103">
        <f t="shared" si="13"/>
        <v>52.11</v>
      </c>
      <c r="CU18" s="20"/>
      <c r="CV18" s="104">
        <f t="shared" si="60"/>
        <v>767.2</v>
      </c>
      <c r="CW18" s="104">
        <f t="shared" si="61"/>
        <v>767.2</v>
      </c>
      <c r="CX18" s="105">
        <f ca="1">IF(OR(CS18&lt;&gt;"",CU18&lt;&gt;""),RANK(CW18,CW$11:INDIRECT(CW$7,FALSE)),"")</f>
        <v>9</v>
      </c>
      <c r="CY18" s="106"/>
      <c r="CZ18" s="107">
        <f t="shared" si="14"/>
        <v>4929.9</v>
      </c>
      <c r="DA18" s="110">
        <f>IF(AND($F$8&lt;8,CZ18&lt;&gt;""),HLOOKUP(MATCH(EV18,EZ18:FF18,0),Discards,1,FALSE),"")</f>
        <v>1</v>
      </c>
      <c r="DB18" s="107">
        <f t="shared" si="62"/>
        <v>4929.9</v>
      </c>
      <c r="DC18" s="108">
        <f ca="1">IF(OR(CS18&lt;&gt;"",CU18&lt;&gt;""),RANK(DB18,DB$11:INDIRECT(DB$7,FALSE)),"")</f>
        <v>17</v>
      </c>
      <c r="DD18" s="109"/>
      <c r="DE18" s="4">
        <v>49.95</v>
      </c>
      <c r="DF18" s="103">
        <f t="shared" si="15"/>
        <v>49.95</v>
      </c>
      <c r="DG18" s="20"/>
      <c r="DH18" s="104">
        <f t="shared" si="63"/>
        <v>863.9</v>
      </c>
      <c r="DI18" s="104">
        <f t="shared" si="64"/>
        <v>863.9</v>
      </c>
      <c r="DJ18" s="105">
        <f ca="1">IF(OR(DE18&lt;&gt;"",DG18&lt;&gt;""),RANK(DI18,DI$11:INDIRECT(DI$7,FALSE)),"")</f>
        <v>8</v>
      </c>
      <c r="DK18" s="106"/>
      <c r="DL18" s="107">
        <f t="shared" si="16"/>
        <v>5793.799999999999</v>
      </c>
      <c r="DM18" s="110">
        <f>IF(AND($F$8&lt;9,DL18&lt;&gt;""),HLOOKUP(MATCH(EW18,EZ18:FG18,0),Discards,1,FALSE),"")</f>
        <v>1</v>
      </c>
      <c r="DN18" s="107">
        <f t="shared" si="65"/>
        <v>5793.799999999999</v>
      </c>
      <c r="DO18" s="108">
        <f ca="1">IF(OR(DE18&lt;&gt;"",DG18&lt;&gt;""),RANK(DN18,DN$11:INDIRECT(DN$7,FALSE)),"")</f>
        <v>17</v>
      </c>
      <c r="DP18" s="109"/>
      <c r="DQ18" s="4">
        <v>53.55</v>
      </c>
      <c r="DR18" s="103">
        <f t="shared" si="17"/>
        <v>53.55</v>
      </c>
      <c r="DS18" s="20"/>
      <c r="DT18" s="104">
        <f t="shared" si="66"/>
        <v>813.4</v>
      </c>
      <c r="DU18" s="104">
        <f t="shared" si="67"/>
        <v>813.4</v>
      </c>
      <c r="DV18" s="105">
        <f ca="1">IF(OR(DQ18&lt;&gt;"",DS18&lt;&gt;""),RANK(DU18,DU$11:INDIRECT(DU$7,FALSE)),"")</f>
        <v>17</v>
      </c>
      <c r="DW18" s="106"/>
      <c r="DX18" s="107">
        <f t="shared" si="18"/>
        <v>6607.199999999999</v>
      </c>
      <c r="DY18" s="110">
        <f>IF(AND($F$8&lt;10,DX18&lt;&gt;""),HLOOKUP(MATCH(EX18,EZ18:FH18,0),Discards,1,FALSE),"")</f>
        <v>1</v>
      </c>
      <c r="DZ18" s="107">
        <f t="shared" si="68"/>
        <v>6607.199999999999</v>
      </c>
      <c r="EA18" s="108">
        <f ca="1">IF(OR(DQ18&lt;&gt;"",DS18&lt;&gt;""),RANK(DZ18,DZ$11:INDIRECT(DZ$7,FALSE)),"")</f>
        <v>18</v>
      </c>
      <c r="EB18" s="109"/>
      <c r="EC18" s="4"/>
      <c r="ED18" s="103">
        <f t="shared" si="19"/>
      </c>
      <c r="EE18" s="20"/>
      <c r="EF18" s="104">
        <f t="shared" si="69"/>
      </c>
      <c r="EG18" s="104">
        <f t="shared" si="70"/>
        <v>0</v>
      </c>
      <c r="EH18" s="105">
        <f ca="1">IF(OR(EC18&lt;&gt;"",EE18&lt;&gt;""),RANK(EG18,EG$11:INDIRECT(EG$7,FALSE)),"")</f>
      </c>
      <c r="EI18" s="106"/>
      <c r="EJ18" s="107">
        <f t="shared" si="20"/>
      </c>
      <c r="EK18" s="110">
        <f>IF(AND($F$8&lt;11,EJ18&lt;&gt;""),HLOOKUP(MATCH(EY18,EZ18:FI18,0),Discards,1,FALSE),"")</f>
      </c>
      <c r="EL18" s="107">
        <f t="shared" si="71"/>
        <v>0</v>
      </c>
      <c r="EM18" s="108">
        <f ca="1">IF(OR(EC18&lt;&gt;"",EE18&lt;&gt;""),RANK(EL18,EL$11:INDIRECT(EL$7,FALSE)),"")</f>
      </c>
      <c r="EN18" s="111"/>
      <c r="EP18" s="112">
        <f t="shared" si="72"/>
        <v>1</v>
      </c>
      <c r="EQ18" s="28">
        <f>MIN($EZ18:FA18)</f>
        <v>756.6</v>
      </c>
      <c r="ER18" s="28">
        <f>MIN($EZ18:FB18)</f>
        <v>756.6</v>
      </c>
      <c r="ES18" s="28">
        <f>MIN($EZ18:FC18)</f>
        <v>756.6</v>
      </c>
      <c r="ET18" s="28">
        <f>MIN($EZ18:FD18)</f>
        <v>756.6</v>
      </c>
      <c r="EU18" s="28">
        <f>MIN($EZ18:FE18)</f>
        <v>756.6</v>
      </c>
      <c r="EV18" s="28">
        <f>MIN($EZ18:FF18)</f>
        <v>756.6</v>
      </c>
      <c r="EW18" s="28">
        <f>MIN($EZ18:FG18)</f>
        <v>756.6</v>
      </c>
      <c r="EX18" s="28">
        <f>MIN($EZ18:FH18)</f>
        <v>756.6</v>
      </c>
      <c r="EY18" s="28">
        <f>MIN($EZ18:FI18)</f>
        <v>756.6</v>
      </c>
      <c r="EZ18" s="28">
        <f t="shared" si="21"/>
        <v>756.6</v>
      </c>
      <c r="FA18" s="28">
        <f t="shared" si="22"/>
        <v>779.3</v>
      </c>
      <c r="FB18" s="28">
        <f t="shared" si="23"/>
        <v>855.3</v>
      </c>
      <c r="FC18" s="28">
        <f t="shared" si="24"/>
        <v>906.4</v>
      </c>
      <c r="FD18" s="28">
        <f t="shared" si="25"/>
        <v>811.4</v>
      </c>
      <c r="FE18" s="28">
        <f t="shared" si="26"/>
        <v>810.3</v>
      </c>
      <c r="FF18" s="28">
        <f t="shared" si="27"/>
        <v>767.2</v>
      </c>
      <c r="FG18" s="28">
        <f t="shared" si="28"/>
        <v>863.9</v>
      </c>
      <c r="FH18" s="28">
        <f t="shared" si="29"/>
        <v>813.4</v>
      </c>
      <c r="FI18" s="28">
        <f t="shared" si="30"/>
      </c>
      <c r="FL18" s="26">
        <f t="shared" si="73"/>
        <v>255000000</v>
      </c>
      <c r="FM18" s="26">
        <f t="shared" si="93"/>
        <v>255000</v>
      </c>
      <c r="FN18" s="26">
        <f t="shared" si="94"/>
        <v>255</v>
      </c>
      <c r="FO18" s="26">
        <f>IF(C18&lt;&gt;"",SUM(FL18:FN18),0)</f>
        <v>255255255</v>
      </c>
      <c r="FP18" s="26">
        <f ca="1">IF(FO18&gt;0,SMALL($FO$11:INDIRECT($FO$7,FALSE),A18),0)</f>
        <v>255255255</v>
      </c>
      <c r="FQ18" s="26">
        <f t="shared" si="74"/>
        <v>255</v>
      </c>
      <c r="FR18" s="26">
        <f t="shared" si="75"/>
        <v>255</v>
      </c>
      <c r="FS18" s="26">
        <f t="shared" si="76"/>
        <v>255</v>
      </c>
      <c r="FT18" s="26">
        <f t="shared" si="77"/>
      </c>
      <c r="FU18" s="26">
        <f t="shared" si="78"/>
        <v>24</v>
      </c>
      <c r="FV18" s="28">
        <f t="shared" si="31"/>
      </c>
      <c r="FW18" s="26">
        <f t="shared" si="92"/>
      </c>
      <c r="FX18" s="28">
        <f t="shared" si="79"/>
      </c>
      <c r="FY18" s="26">
        <f ca="1">IF(FX18&lt;&gt;"",RANK(FX18,FX$11:INDIRECT(FX$7,FALSE)),"")</f>
      </c>
      <c r="FZ18" s="26">
        <f t="shared" si="80"/>
      </c>
      <c r="GA18" s="26">
        <f t="shared" si="81"/>
      </c>
      <c r="GC18" s="27">
        <f t="shared" si="32"/>
      </c>
      <c r="GD18" s="27">
        <f t="shared" si="33"/>
      </c>
      <c r="GE18" s="27">
        <f t="shared" si="82"/>
      </c>
      <c r="GF18" s="27">
        <f t="shared" si="83"/>
      </c>
      <c r="GG18" s="27">
        <f t="shared" si="84"/>
        <v>0</v>
      </c>
      <c r="GH18" s="26">
        <f t="shared" si="85"/>
        <v>0</v>
      </c>
      <c r="GI18" s="26">
        <f t="shared" si="86"/>
        <v>0</v>
      </c>
      <c r="GJ18" s="26">
        <f t="shared" si="87"/>
        <v>0</v>
      </c>
      <c r="GK18" s="26">
        <f t="shared" si="88"/>
      </c>
      <c r="GL18" s="28">
        <f t="shared" si="89"/>
      </c>
      <c r="GM18" s="26">
        <f t="shared" si="90"/>
      </c>
    </row>
    <row r="19" spans="1:195" ht="12.75">
      <c r="A19" s="16">
        <f t="shared" si="91"/>
        <v>9</v>
      </c>
      <c r="B19" s="17"/>
      <c r="C19" s="18" t="s">
        <v>113</v>
      </c>
      <c r="D19" s="19" t="s">
        <v>94</v>
      </c>
      <c r="E19" s="18" t="s">
        <v>114</v>
      </c>
      <c r="F19" s="18"/>
      <c r="G19" s="148"/>
      <c r="H19" s="122">
        <f t="shared" si="34"/>
      </c>
      <c r="I19" s="30">
        <f t="shared" si="35"/>
        <v>7262.900000000001</v>
      </c>
      <c r="J19" s="30">
        <f>AD19+AO19+BA19+BM19+BY19+CK19+CW19+DI19+DU19+EG19-(MIN(EZ19:FI19)*$EY$2)</f>
        <v>7262.900000000001</v>
      </c>
      <c r="K19" s="139">
        <f ca="1">IF(I19&lt;&gt;"",RANK(I19,J$11:INDIRECT(J$7,FALSE)),"")</f>
        <v>2</v>
      </c>
      <c r="L19" s="102">
        <f t="shared" si="36"/>
      </c>
      <c r="M19" s="102">
        <f t="shared" si="37"/>
        <v>0</v>
      </c>
      <c r="N19" s="51">
        <f t="shared" si="1"/>
      </c>
      <c r="O19" s="150"/>
      <c r="P19" s="151">
        <f t="shared" si="38"/>
      </c>
      <c r="Q19" s="152"/>
      <c r="R19" s="153">
        <f t="shared" si="39"/>
      </c>
      <c r="S19" s="153">
        <f t="shared" si="40"/>
        <v>0</v>
      </c>
      <c r="T19" s="154">
        <f ca="1">IF(OR(O19&lt;&gt;"",Q19&lt;&gt;""),RANK(S19,S$11:INDIRECT(S$7,FALSE)),"")</f>
      </c>
      <c r="U19" s="155"/>
      <c r="V19" s="156"/>
      <c r="W19" s="156"/>
      <c r="X19" s="157"/>
      <c r="Y19" s="158"/>
      <c r="Z19" s="227">
        <v>58.93</v>
      </c>
      <c r="AA19" s="103">
        <f t="shared" si="41"/>
        <v>58.93</v>
      </c>
      <c r="AB19" s="20"/>
      <c r="AC19" s="104">
        <f t="shared" si="42"/>
        <v>928.2</v>
      </c>
      <c r="AD19" s="104">
        <f t="shared" si="43"/>
        <v>928.2</v>
      </c>
      <c r="AE19" s="105">
        <f ca="1">IF(OR(Z19&lt;&gt;"",AB19&lt;&gt;""),RANK(AD19,AD$11:INDIRECT(AD$7,FALSE)),"")</f>
        <v>8</v>
      </c>
      <c r="AF19" s="106"/>
      <c r="AG19" s="107">
        <f t="shared" si="44"/>
        <v>928.2</v>
      </c>
      <c r="AH19" s="107">
        <f t="shared" si="45"/>
        <v>928.2</v>
      </c>
      <c r="AI19" s="108">
        <f ca="1">IF(OR(Z19&lt;&gt;"",AB19&lt;&gt;""),RANK(AH19,AH$11:INDIRECT(AH$7,FALSE)),"")</f>
        <v>8</v>
      </c>
      <c r="AJ19" s="109"/>
      <c r="AK19" s="4">
        <v>63.75</v>
      </c>
      <c r="AL19" s="103">
        <f t="shared" si="2"/>
        <v>63.75</v>
      </c>
      <c r="AM19" s="20"/>
      <c r="AN19" s="104">
        <f t="shared" si="46"/>
        <v>817.7</v>
      </c>
      <c r="AO19" s="104">
        <f t="shared" si="47"/>
        <v>817.7</v>
      </c>
      <c r="AP19" s="105">
        <f ca="1">IF(OR(AK19&lt;&gt;"",AM19&lt;&gt;""),RANK(AO19,AO$11:INDIRECT(AO$7,FALSE)),"")</f>
        <v>19</v>
      </c>
      <c r="AQ19" s="106"/>
      <c r="AR19" s="107">
        <f t="shared" si="3"/>
        <v>1745.9</v>
      </c>
      <c r="AS19" s="110">
        <f>IF(AND($F$8&lt;3,AR19&lt;&gt;""),HLOOKUP(MATCH(EQ19,EZ19:FA19,0),Discards,1,FALSE),"")</f>
      </c>
      <c r="AT19" s="107">
        <f t="shared" si="4"/>
        <v>1745.9</v>
      </c>
      <c r="AU19" s="108">
        <f ca="1">IF(OR(AK19&lt;&gt;"",AM19&lt;&gt;""),RANK(AT19,AT$11:INDIRECT(AT$7,FALSE)),"")</f>
        <v>8</v>
      </c>
      <c r="AV19" s="109"/>
      <c r="AW19" s="4">
        <v>57.66</v>
      </c>
      <c r="AX19" s="103">
        <f t="shared" si="5"/>
        <v>57.66</v>
      </c>
      <c r="AY19" s="20"/>
      <c r="AZ19" s="104">
        <f t="shared" si="48"/>
        <v>817.9</v>
      </c>
      <c r="BA19" s="104">
        <f t="shared" si="49"/>
        <v>817.9</v>
      </c>
      <c r="BB19" s="105">
        <f ca="1">IF(OR(AW19&lt;&gt;"",AY19&lt;&gt;""),RANK(BA19,BA$11:INDIRECT(BA$7,FALSE)),"")</f>
        <v>14</v>
      </c>
      <c r="BC19" s="106"/>
      <c r="BD19" s="107">
        <f t="shared" si="6"/>
        <v>2563.8</v>
      </c>
      <c r="BE19" s="110">
        <f>IF(AND($F$8&lt;4,BD19&lt;&gt;""),HLOOKUP(MATCH(ER19,EZ19:FB19,0),Discards,1,FALSE),"")</f>
      </c>
      <c r="BF19" s="107">
        <f t="shared" si="50"/>
        <v>2563.8</v>
      </c>
      <c r="BG19" s="108">
        <f ca="1">IF(OR(AW19&lt;&gt;"",AY19&lt;&gt;""),RANK(BF19,BF$11:INDIRECT(BF$7,FALSE)),"")</f>
        <v>10</v>
      </c>
      <c r="BH19" s="109"/>
      <c r="BI19" s="4">
        <v>58.51</v>
      </c>
      <c r="BJ19" s="103">
        <f t="shared" si="7"/>
        <v>58.51</v>
      </c>
      <c r="BK19" s="20"/>
      <c r="BL19" s="104">
        <f t="shared" si="51"/>
        <v>839</v>
      </c>
      <c r="BM19" s="104">
        <f t="shared" si="52"/>
        <v>839</v>
      </c>
      <c r="BN19" s="105">
        <f ca="1">IF(OR(BI19&lt;&gt;"",BK19&lt;&gt;""),RANK(BM19,BM$11:INDIRECT(BM$7,FALSE)),"")</f>
        <v>20</v>
      </c>
      <c r="BO19" s="106"/>
      <c r="BP19" s="107">
        <f t="shared" si="8"/>
        <v>3402.8</v>
      </c>
      <c r="BQ19" s="110">
        <f>IF(AND($F$8&lt;5,BP19&lt;&gt;""),HLOOKUP(MATCH(ES19,EZ19:FC19,0),Discards,1,FALSE),"")</f>
      </c>
      <c r="BR19" s="107">
        <f t="shared" si="53"/>
        <v>3402.8</v>
      </c>
      <c r="BS19" s="108">
        <f ca="1">IF(OR(BI19&lt;&gt;"",BK19&lt;&gt;""),RANK(BR19,BR$11:INDIRECT(BR$7,FALSE)),"")</f>
        <v>12</v>
      </c>
      <c r="BT19" s="109"/>
      <c r="BU19" s="4">
        <v>47.17</v>
      </c>
      <c r="BV19" s="103">
        <f t="shared" si="9"/>
        <v>47.17</v>
      </c>
      <c r="BW19" s="20"/>
      <c r="BX19" s="104">
        <f t="shared" si="54"/>
        <v>969.5</v>
      </c>
      <c r="BY19" s="104">
        <f t="shared" si="55"/>
        <v>969.5</v>
      </c>
      <c r="BZ19" s="105">
        <f ca="1">IF(OR(BU19&lt;&gt;"",BW19&lt;&gt;""),RANK(BY19,BY$11:INDIRECT(BY$7,FALSE)),"")</f>
        <v>3</v>
      </c>
      <c r="CA19" s="106"/>
      <c r="CB19" s="107">
        <f t="shared" si="10"/>
        <v>3554.6000000000004</v>
      </c>
      <c r="CC19" s="110">
        <f>IF(AND($F$8&lt;6,CB19&lt;&gt;""),HLOOKUP(MATCH(ET19,EZ19:FD19,0),Discards,1,FALSE),"")</f>
        <v>2</v>
      </c>
      <c r="CD19" s="107">
        <f t="shared" si="56"/>
        <v>3554.6000000000004</v>
      </c>
      <c r="CE19" s="108">
        <f ca="1">IF(OR(BU19&lt;&gt;"",BW19&lt;&gt;""),RANK(CD19,CD$11:INDIRECT(CD$7,FALSE)),"")</f>
        <v>9</v>
      </c>
      <c r="CF19" s="109"/>
      <c r="CG19" s="4">
        <v>49.35</v>
      </c>
      <c r="CH19" s="103">
        <f t="shared" si="11"/>
        <v>49.35</v>
      </c>
      <c r="CI19" s="20"/>
      <c r="CJ19" s="104">
        <f t="shared" si="57"/>
        <v>1000</v>
      </c>
      <c r="CK19" s="104">
        <f t="shared" si="58"/>
        <v>1000</v>
      </c>
      <c r="CL19" s="105">
        <f ca="1">IF(OR(CG19&lt;&gt;"",CI19&lt;&gt;""),RANK(CK19,CK$11:INDIRECT(CK$7,FALSE)),"")</f>
        <v>1</v>
      </c>
      <c r="CM19" s="106"/>
      <c r="CN19" s="107">
        <f t="shared" si="12"/>
        <v>4554.6</v>
      </c>
      <c r="CO19" s="110">
        <f>IF(AND($F$8&lt;7,CN19&lt;&gt;""),HLOOKUP(MATCH(EU19,EZ19:FE19,0),Discards,1,FALSE),"")</f>
        <v>2</v>
      </c>
      <c r="CP19" s="107">
        <f t="shared" si="59"/>
        <v>4554.6</v>
      </c>
      <c r="CQ19" s="108">
        <f ca="1">IF(OR(CG19&lt;&gt;"",CI19&lt;&gt;""),RANK(CP19,CP$11:INDIRECT(CP$7,FALSE)),"")</f>
        <v>4</v>
      </c>
      <c r="CR19" s="109"/>
      <c r="CS19" s="4">
        <v>53.45</v>
      </c>
      <c r="CT19" s="103">
        <f t="shared" si="13"/>
        <v>53.45</v>
      </c>
      <c r="CU19" s="20"/>
      <c r="CV19" s="104">
        <f t="shared" si="60"/>
        <v>748</v>
      </c>
      <c r="CW19" s="104">
        <f t="shared" si="61"/>
        <v>748</v>
      </c>
      <c r="CX19" s="105">
        <f ca="1">IF(OR(CS19&lt;&gt;"",CU19&lt;&gt;""),RANK(CW19,CW$11:INDIRECT(CW$7,FALSE)),"")</f>
        <v>13</v>
      </c>
      <c r="CY19" s="106"/>
      <c r="CZ19" s="107">
        <f t="shared" si="14"/>
        <v>5372.3</v>
      </c>
      <c r="DA19" s="110">
        <f>IF(AND($F$8&lt;8,CZ19&lt;&gt;""),HLOOKUP(MATCH(EV19,EZ19:FF19,0),Discards,1,FALSE),"")</f>
        <v>7</v>
      </c>
      <c r="DB19" s="107">
        <f t="shared" si="62"/>
        <v>5372.3</v>
      </c>
      <c r="DC19" s="108">
        <f ca="1">IF(OR(CS19&lt;&gt;"",CU19&lt;&gt;""),RANK(DB19,DB$11:INDIRECT(DB$7,FALSE)),"")</f>
        <v>4</v>
      </c>
      <c r="DD19" s="109"/>
      <c r="DE19" s="4">
        <v>44.06</v>
      </c>
      <c r="DF19" s="103">
        <f t="shared" si="15"/>
        <v>44.06</v>
      </c>
      <c r="DG19" s="20"/>
      <c r="DH19" s="104">
        <f t="shared" si="63"/>
        <v>979.3</v>
      </c>
      <c r="DI19" s="104">
        <f t="shared" si="64"/>
        <v>979.3</v>
      </c>
      <c r="DJ19" s="105">
        <f ca="1">IF(OR(DE19&lt;&gt;"",DG19&lt;&gt;""),RANK(DI19,DI$11:INDIRECT(DI$7,FALSE)),"")</f>
        <v>2</v>
      </c>
      <c r="DK19" s="106"/>
      <c r="DL19" s="107">
        <f t="shared" si="16"/>
        <v>6351.6</v>
      </c>
      <c r="DM19" s="110">
        <f>IF(AND($F$8&lt;9,DL19&lt;&gt;""),HLOOKUP(MATCH(EW19,EZ19:FG19,0),Discards,1,FALSE),"")</f>
        <v>7</v>
      </c>
      <c r="DN19" s="107">
        <f t="shared" si="65"/>
        <v>6351.6</v>
      </c>
      <c r="DO19" s="108">
        <f ca="1">IF(OR(DE19&lt;&gt;"",DG19&lt;&gt;""),RANK(DN19,DN$11:INDIRECT(DN$7,FALSE)),"")</f>
        <v>2</v>
      </c>
      <c r="DP19" s="109"/>
      <c r="DQ19" s="4">
        <v>47.8</v>
      </c>
      <c r="DR19" s="103">
        <f t="shared" si="17"/>
        <v>47.8</v>
      </c>
      <c r="DS19" s="20"/>
      <c r="DT19" s="104">
        <f t="shared" si="66"/>
        <v>911.3</v>
      </c>
      <c r="DU19" s="104">
        <f t="shared" si="67"/>
        <v>911.3</v>
      </c>
      <c r="DV19" s="105">
        <f ca="1">IF(OR(DQ19&lt;&gt;"",DS19&lt;&gt;""),RANK(DU19,DU$11:INDIRECT(DU$7,FALSE)),"")</f>
        <v>6</v>
      </c>
      <c r="DW19" s="106"/>
      <c r="DX19" s="107">
        <f t="shared" si="18"/>
        <v>7262.900000000001</v>
      </c>
      <c r="DY19" s="110">
        <f>IF(AND($F$8&lt;10,DX19&lt;&gt;""),HLOOKUP(MATCH(EX19,EZ19:FH19,0),Discards,1,FALSE),"")</f>
        <v>7</v>
      </c>
      <c r="DZ19" s="107">
        <f t="shared" si="68"/>
        <v>7262.900000000001</v>
      </c>
      <c r="EA19" s="108">
        <f ca="1">IF(OR(DQ19&lt;&gt;"",DS19&lt;&gt;""),RANK(DZ19,DZ$11:INDIRECT(DZ$7,FALSE)),"")</f>
        <v>2</v>
      </c>
      <c r="EB19" s="109"/>
      <c r="EC19" s="4"/>
      <c r="ED19" s="103">
        <f t="shared" si="19"/>
      </c>
      <c r="EE19" s="20"/>
      <c r="EF19" s="104">
        <f t="shared" si="69"/>
      </c>
      <c r="EG19" s="104">
        <f t="shared" si="70"/>
        <v>0</v>
      </c>
      <c r="EH19" s="105">
        <f ca="1">IF(OR(EC19&lt;&gt;"",EE19&lt;&gt;""),RANK(EG19,EG$11:INDIRECT(EG$7,FALSE)),"")</f>
      </c>
      <c r="EI19" s="106"/>
      <c r="EJ19" s="107">
        <f t="shared" si="20"/>
      </c>
      <c r="EK19" s="110">
        <f>IF(AND($F$8&lt;11,EJ19&lt;&gt;""),HLOOKUP(MATCH(EY19,EZ19:FI19,0),Discards,1,FALSE),"")</f>
      </c>
      <c r="EL19" s="107">
        <f t="shared" si="71"/>
        <v>0</v>
      </c>
      <c r="EM19" s="108">
        <f ca="1">IF(OR(EC19&lt;&gt;"",EE19&lt;&gt;""),RANK(EL19,EL$11:INDIRECT(EL$7,FALSE)),"")</f>
      </c>
      <c r="EN19" s="111"/>
      <c r="EP19" s="112">
        <f t="shared" si="72"/>
        <v>1</v>
      </c>
      <c r="EQ19" s="28">
        <f>MIN($EZ19:FA19)</f>
        <v>817.7</v>
      </c>
      <c r="ER19" s="28">
        <f>MIN($EZ19:FB19)</f>
        <v>817.7</v>
      </c>
      <c r="ES19" s="28">
        <f>MIN($EZ19:FC19)</f>
        <v>817.7</v>
      </c>
      <c r="ET19" s="28">
        <f>MIN($EZ19:FD19)</f>
        <v>817.7</v>
      </c>
      <c r="EU19" s="28">
        <f>MIN($EZ19:FE19)</f>
        <v>817.7</v>
      </c>
      <c r="EV19" s="28">
        <f>MIN($EZ19:FF19)</f>
        <v>748</v>
      </c>
      <c r="EW19" s="28">
        <f>MIN($EZ19:FG19)</f>
        <v>748</v>
      </c>
      <c r="EX19" s="28">
        <f>MIN($EZ19:FH19)</f>
        <v>748</v>
      </c>
      <c r="EY19" s="28">
        <f>MIN($EZ19:FI19)</f>
        <v>748</v>
      </c>
      <c r="EZ19" s="28">
        <f t="shared" si="21"/>
        <v>928.2</v>
      </c>
      <c r="FA19" s="28">
        <f t="shared" si="22"/>
        <v>817.7</v>
      </c>
      <c r="FB19" s="28">
        <f t="shared" si="23"/>
        <v>817.9</v>
      </c>
      <c r="FC19" s="28">
        <f t="shared" si="24"/>
        <v>839</v>
      </c>
      <c r="FD19" s="28">
        <f t="shared" si="25"/>
        <v>969.5</v>
      </c>
      <c r="FE19" s="28">
        <f t="shared" si="26"/>
        <v>1000</v>
      </c>
      <c r="FF19" s="28">
        <f t="shared" si="27"/>
        <v>748</v>
      </c>
      <c r="FG19" s="28">
        <f t="shared" si="28"/>
        <v>979.3</v>
      </c>
      <c r="FH19" s="28">
        <f t="shared" si="29"/>
        <v>911.3</v>
      </c>
      <c r="FI19" s="28">
        <f t="shared" si="30"/>
      </c>
      <c r="FL19" s="26">
        <f t="shared" si="73"/>
        <v>255000000</v>
      </c>
      <c r="FM19" s="26">
        <f t="shared" si="93"/>
        <v>255000</v>
      </c>
      <c r="FN19" s="26">
        <f t="shared" si="94"/>
        <v>255</v>
      </c>
      <c r="FO19" s="26">
        <f>IF(C19&lt;&gt;"",SUM(FL19:FN19),0)</f>
        <v>255255255</v>
      </c>
      <c r="FP19" s="26">
        <f ca="1">IF(FO19&gt;0,SMALL($FO$11:INDIRECT($FO$7,FALSE),A19),0)</f>
        <v>255255255</v>
      </c>
      <c r="FQ19" s="26">
        <f t="shared" si="74"/>
        <v>255</v>
      </c>
      <c r="FR19" s="26">
        <f t="shared" si="75"/>
        <v>255</v>
      </c>
      <c r="FS19" s="26">
        <f t="shared" si="76"/>
        <v>255</v>
      </c>
      <c r="FT19" s="26">
        <f t="shared" si="77"/>
      </c>
      <c r="FU19" s="26">
        <f t="shared" si="78"/>
        <v>24</v>
      </c>
      <c r="FV19" s="28">
        <f t="shared" si="31"/>
      </c>
      <c r="FW19" s="26">
        <f t="shared" si="92"/>
      </c>
      <c r="FX19" s="28">
        <f t="shared" si="79"/>
      </c>
      <c r="FY19" s="26">
        <f ca="1">IF(FX19&lt;&gt;"",RANK(FX19,FX$11:INDIRECT(FX$7,FALSE)),"")</f>
      </c>
      <c r="FZ19" s="26">
        <f t="shared" si="80"/>
      </c>
      <c r="GA19" s="26">
        <f t="shared" si="81"/>
      </c>
      <c r="GC19" s="27">
        <f t="shared" si="32"/>
      </c>
      <c r="GD19" s="27">
        <f t="shared" si="33"/>
      </c>
      <c r="GE19" s="27">
        <f t="shared" si="82"/>
      </c>
      <c r="GF19" s="27">
        <f t="shared" si="83"/>
      </c>
      <c r="GG19" s="27">
        <f t="shared" si="84"/>
        <v>0</v>
      </c>
      <c r="GH19" s="26">
        <f t="shared" si="85"/>
        <v>0</v>
      </c>
      <c r="GI19" s="26">
        <f t="shared" si="86"/>
        <v>0</v>
      </c>
      <c r="GJ19" s="26">
        <f t="shared" si="87"/>
        <v>0</v>
      </c>
      <c r="GK19" s="26">
        <f t="shared" si="88"/>
      </c>
      <c r="GL19" s="28">
        <f t="shared" si="89"/>
      </c>
      <c r="GM19" s="26">
        <f t="shared" si="90"/>
      </c>
    </row>
    <row r="20" spans="1:195" ht="12.75">
      <c r="A20" s="132">
        <f t="shared" si="91"/>
        <v>10</v>
      </c>
      <c r="B20" s="133"/>
      <c r="C20" s="134" t="s">
        <v>115</v>
      </c>
      <c r="D20" s="135" t="s">
        <v>92</v>
      </c>
      <c r="E20" s="134" t="s">
        <v>116</v>
      </c>
      <c r="F20" s="134"/>
      <c r="G20" s="149"/>
      <c r="H20" s="136">
        <f t="shared" si="34"/>
      </c>
      <c r="I20" s="137">
        <f t="shared" si="35"/>
        <v>6800.499999999999</v>
      </c>
      <c r="J20" s="137">
        <f>AD20+AO20+BA20+BM20+BY20+CK20+CW20+DI20+DU20+EG20-(MIN(EZ20:FI20)*$EY$2)</f>
        <v>6800.499999999999</v>
      </c>
      <c r="K20" s="140">
        <f ca="1">IF(I20&lt;&gt;"",RANK(I20,J$11:INDIRECT(J$7,FALSE)),"")</f>
        <v>12</v>
      </c>
      <c r="L20" s="137">
        <f t="shared" si="36"/>
      </c>
      <c r="M20" s="137">
        <f t="shared" si="37"/>
        <v>0</v>
      </c>
      <c r="N20" s="138">
        <f t="shared" si="1"/>
      </c>
      <c r="O20" s="159"/>
      <c r="P20" s="160">
        <f t="shared" si="38"/>
      </c>
      <c r="Q20" s="161"/>
      <c r="R20" s="162">
        <f t="shared" si="39"/>
      </c>
      <c r="S20" s="162">
        <f t="shared" si="40"/>
        <v>0</v>
      </c>
      <c r="T20" s="163">
        <f ca="1">IF(OR(O20&lt;&gt;"",Q20&lt;&gt;""),RANK(S20,S$11:INDIRECT(S$7,FALSE)),"")</f>
      </c>
      <c r="U20" s="164"/>
      <c r="V20" s="165"/>
      <c r="W20" s="165"/>
      <c r="X20" s="166"/>
      <c r="Y20" s="167"/>
      <c r="Z20" s="228">
        <v>65.1</v>
      </c>
      <c r="AA20" s="113">
        <f t="shared" si="41"/>
        <v>65.1</v>
      </c>
      <c r="AB20" s="21"/>
      <c r="AC20" s="114">
        <f t="shared" si="42"/>
        <v>840.2</v>
      </c>
      <c r="AD20" s="114">
        <f t="shared" si="43"/>
        <v>840.2</v>
      </c>
      <c r="AE20" s="115">
        <f ca="1">IF(OR(Z20&lt;&gt;"",AB20&lt;&gt;""),RANK(AD20,AD$11:INDIRECT(AD$7,FALSE)),"")</f>
        <v>14</v>
      </c>
      <c r="AF20" s="116"/>
      <c r="AG20" s="117">
        <f t="shared" si="44"/>
        <v>840.2</v>
      </c>
      <c r="AH20" s="117">
        <f t="shared" si="45"/>
        <v>840.2</v>
      </c>
      <c r="AI20" s="118">
        <f ca="1">IF(OR(Z20&lt;&gt;"",AB20&lt;&gt;""),RANK(AH20,AH$11:INDIRECT(AH$7,FALSE)),"")</f>
        <v>14</v>
      </c>
      <c r="AJ20" s="119"/>
      <c r="AK20" s="5">
        <v>62.75</v>
      </c>
      <c r="AL20" s="113">
        <f t="shared" si="2"/>
        <v>62.75</v>
      </c>
      <c r="AM20" s="21"/>
      <c r="AN20" s="114">
        <f t="shared" si="46"/>
        <v>830.8</v>
      </c>
      <c r="AO20" s="114">
        <f t="shared" si="47"/>
        <v>830.8</v>
      </c>
      <c r="AP20" s="115">
        <f ca="1">IF(OR(AK20&lt;&gt;"",AM20&lt;&gt;""),RANK(AO20,AO$11:INDIRECT(AO$7,FALSE)),"")</f>
        <v>16</v>
      </c>
      <c r="AQ20" s="116"/>
      <c r="AR20" s="117">
        <f t="shared" si="3"/>
        <v>1671</v>
      </c>
      <c r="AS20" s="120">
        <f>IF(AND($F$8&lt;3,AR20&lt;&gt;""),HLOOKUP(MATCH(EQ20,EZ20:FA20,0),Discards,1,FALSE),"")</f>
      </c>
      <c r="AT20" s="117">
        <f t="shared" si="4"/>
        <v>1671</v>
      </c>
      <c r="AU20" s="118">
        <f ca="1">IF(OR(AK20&lt;&gt;"",AM20&lt;&gt;""),RANK(AT20,AT$11:INDIRECT(AT$7,FALSE)),"")</f>
        <v>17</v>
      </c>
      <c r="AV20" s="119"/>
      <c r="AW20" s="5">
        <v>61.88</v>
      </c>
      <c r="AX20" s="113">
        <f t="shared" si="5"/>
        <v>61.88</v>
      </c>
      <c r="AY20" s="21"/>
      <c r="AZ20" s="114">
        <f t="shared" si="48"/>
        <v>762.1</v>
      </c>
      <c r="BA20" s="114">
        <f t="shared" si="49"/>
        <v>762.1</v>
      </c>
      <c r="BB20" s="115">
        <f ca="1">IF(OR(AW20&lt;&gt;"",AY20&lt;&gt;""),RANK(BA20,BA$11:INDIRECT(BA$7,FALSE)),"")</f>
        <v>23</v>
      </c>
      <c r="BC20" s="116"/>
      <c r="BD20" s="117">
        <f t="shared" si="6"/>
        <v>2433.1</v>
      </c>
      <c r="BE20" s="120">
        <f>IF(AND($F$8&lt;4,BD20&lt;&gt;""),HLOOKUP(MATCH(ER20,EZ20:FB20,0),Discards,1,FALSE),"")</f>
      </c>
      <c r="BF20" s="117">
        <f t="shared" si="50"/>
        <v>2433.1</v>
      </c>
      <c r="BG20" s="118">
        <f ca="1">IF(OR(AW20&lt;&gt;"",AY20&lt;&gt;""),RANK(BF20,BF$11:INDIRECT(BF$7,FALSE)),"")</f>
        <v>20</v>
      </c>
      <c r="BH20" s="119"/>
      <c r="BI20" s="5">
        <v>57.24</v>
      </c>
      <c r="BJ20" s="113">
        <f t="shared" si="7"/>
        <v>57.24</v>
      </c>
      <c r="BK20" s="21"/>
      <c r="BL20" s="114">
        <f t="shared" si="51"/>
        <v>857.6</v>
      </c>
      <c r="BM20" s="114">
        <f t="shared" si="52"/>
        <v>857.6</v>
      </c>
      <c r="BN20" s="115">
        <f ca="1">IF(OR(BI20&lt;&gt;"",BK20&lt;&gt;""),RANK(BM20,BM$11:INDIRECT(BM$7,FALSE)),"")</f>
        <v>18</v>
      </c>
      <c r="BO20" s="116"/>
      <c r="BP20" s="117">
        <f t="shared" si="8"/>
        <v>3290.7</v>
      </c>
      <c r="BQ20" s="120">
        <f>IF(AND($F$8&lt;5,BP20&lt;&gt;""),HLOOKUP(MATCH(ES20,EZ20:FC20,0),Discards,1,FALSE),"")</f>
      </c>
      <c r="BR20" s="117">
        <f t="shared" si="53"/>
        <v>3290.7</v>
      </c>
      <c r="BS20" s="118">
        <f ca="1">IF(OR(BI20&lt;&gt;"",BK20&lt;&gt;""),RANK(BR20,BR$11:INDIRECT(BR$7,FALSE)),"")</f>
        <v>19</v>
      </c>
      <c r="BT20" s="119"/>
      <c r="BU20" s="5">
        <v>46.6</v>
      </c>
      <c r="BV20" s="113">
        <f t="shared" si="9"/>
        <v>46.6</v>
      </c>
      <c r="BW20" s="21"/>
      <c r="BX20" s="114">
        <f t="shared" si="54"/>
        <v>981.3</v>
      </c>
      <c r="BY20" s="114">
        <f t="shared" si="55"/>
        <v>981.3</v>
      </c>
      <c r="BZ20" s="115">
        <f ca="1">IF(OR(BU20&lt;&gt;"",BW20&lt;&gt;""),RANK(BY20,BY$11:INDIRECT(BY$7,FALSE)),"")</f>
        <v>2</v>
      </c>
      <c r="CA20" s="116"/>
      <c r="CB20" s="117">
        <f t="shared" si="10"/>
        <v>3509.9</v>
      </c>
      <c r="CC20" s="120">
        <f>IF(AND($F$8&lt;6,CB20&lt;&gt;""),HLOOKUP(MATCH(ET20,EZ20:FD20,0),Discards,1,FALSE),"")</f>
        <v>3</v>
      </c>
      <c r="CD20" s="117">
        <f t="shared" si="56"/>
        <v>3509.9</v>
      </c>
      <c r="CE20" s="118">
        <f ca="1">IF(OR(BU20&lt;&gt;"",BW20&lt;&gt;""),RANK(CD20,CD$11:INDIRECT(CD$7,FALSE)),"")</f>
        <v>12</v>
      </c>
      <c r="CF20" s="119"/>
      <c r="CG20" s="5">
        <v>58.9</v>
      </c>
      <c r="CH20" s="113">
        <f t="shared" si="11"/>
        <v>58.9</v>
      </c>
      <c r="CI20" s="21"/>
      <c r="CJ20" s="114">
        <f t="shared" si="57"/>
        <v>837.9</v>
      </c>
      <c r="CK20" s="114">
        <f t="shared" si="58"/>
        <v>837.9</v>
      </c>
      <c r="CL20" s="115">
        <f ca="1">IF(OR(CG20&lt;&gt;"",CI20&lt;&gt;""),RANK(CK20,CK$11:INDIRECT(CK$7,FALSE)),"")</f>
        <v>13</v>
      </c>
      <c r="CM20" s="116"/>
      <c r="CN20" s="117">
        <f t="shared" si="12"/>
        <v>4347.799999999999</v>
      </c>
      <c r="CO20" s="120">
        <f>IF(AND($F$8&lt;7,CN20&lt;&gt;""),HLOOKUP(MATCH(EU20,EZ20:FE20,0),Discards,1,FALSE),"")</f>
        <v>3</v>
      </c>
      <c r="CP20" s="117">
        <f t="shared" si="59"/>
        <v>4347.799999999999</v>
      </c>
      <c r="CQ20" s="118">
        <f ca="1">IF(OR(CG20&lt;&gt;"",CI20&lt;&gt;""),RANK(CP20,CP$11:INDIRECT(CP$7,FALSE)),"")</f>
        <v>13</v>
      </c>
      <c r="CR20" s="119"/>
      <c r="CS20" s="5">
        <v>58.91</v>
      </c>
      <c r="CT20" s="113">
        <f t="shared" si="13"/>
        <v>58.91</v>
      </c>
      <c r="CU20" s="21"/>
      <c r="CV20" s="114">
        <f t="shared" si="60"/>
        <v>678.7</v>
      </c>
      <c r="CW20" s="114">
        <f t="shared" si="61"/>
        <v>678.7</v>
      </c>
      <c r="CX20" s="115">
        <f ca="1">IF(OR(CS20&lt;&gt;"",CU20&lt;&gt;""),RANK(CW20,CW$11:INDIRECT(CW$7,FALSE)),"")</f>
        <v>20</v>
      </c>
      <c r="CY20" s="116"/>
      <c r="CZ20" s="117">
        <f t="shared" si="14"/>
        <v>5109.9</v>
      </c>
      <c r="DA20" s="120">
        <f>IF(AND($F$8&lt;8,CZ20&lt;&gt;""),HLOOKUP(MATCH(EV20,EZ20:FF20,0),Discards,1,FALSE),"")</f>
        <v>7</v>
      </c>
      <c r="DB20" s="117">
        <f t="shared" si="62"/>
        <v>5109.9</v>
      </c>
      <c r="DC20" s="118">
        <f ca="1">IF(OR(CS20&lt;&gt;"",CU20&lt;&gt;""),RANK(DB20,DB$11:INDIRECT(DB$7,FALSE)),"")</f>
        <v>15</v>
      </c>
      <c r="DD20" s="119"/>
      <c r="DE20" s="5">
        <v>50.86</v>
      </c>
      <c r="DF20" s="113">
        <f t="shared" si="15"/>
        <v>50.86</v>
      </c>
      <c r="DG20" s="21"/>
      <c r="DH20" s="114">
        <f t="shared" si="63"/>
        <v>848.4</v>
      </c>
      <c r="DI20" s="114">
        <f t="shared" si="64"/>
        <v>848.4</v>
      </c>
      <c r="DJ20" s="115">
        <f ca="1">IF(OR(DE20&lt;&gt;"",DG20&lt;&gt;""),RANK(DI20,DI$11:INDIRECT(DI$7,FALSE)),"")</f>
        <v>10</v>
      </c>
      <c r="DK20" s="116"/>
      <c r="DL20" s="117">
        <f t="shared" si="16"/>
        <v>5958.299999999999</v>
      </c>
      <c r="DM20" s="120">
        <f>IF(AND($F$8&lt;9,DL20&lt;&gt;""),HLOOKUP(MATCH(EW20,EZ20:FG20,0),Discards,1,FALSE),"")</f>
        <v>7</v>
      </c>
      <c r="DN20" s="117">
        <f t="shared" si="65"/>
        <v>5958.299999999999</v>
      </c>
      <c r="DO20" s="118">
        <f ca="1">IF(OR(DE20&lt;&gt;"",DG20&lt;&gt;""),RANK(DN20,DN$11:INDIRECT(DN$7,FALSE)),"")</f>
        <v>14</v>
      </c>
      <c r="DP20" s="119"/>
      <c r="DQ20" s="5">
        <v>51.72</v>
      </c>
      <c r="DR20" s="113">
        <f t="shared" si="17"/>
        <v>51.72</v>
      </c>
      <c r="DS20" s="21"/>
      <c r="DT20" s="114">
        <f t="shared" si="66"/>
        <v>842.2</v>
      </c>
      <c r="DU20" s="114">
        <f t="shared" si="67"/>
        <v>842.2</v>
      </c>
      <c r="DV20" s="115">
        <f ca="1">IF(OR(DQ20&lt;&gt;"",DS20&lt;&gt;""),RANK(DU20,DU$11:INDIRECT(DU$7,FALSE)),"")</f>
        <v>12</v>
      </c>
      <c r="DW20" s="116"/>
      <c r="DX20" s="117">
        <f t="shared" si="18"/>
        <v>6800.499999999999</v>
      </c>
      <c r="DY20" s="120">
        <f>IF(AND($F$8&lt;10,DX20&lt;&gt;""),HLOOKUP(MATCH(EX20,EZ20:FH20,0),Discards,1,FALSE),"")</f>
        <v>7</v>
      </c>
      <c r="DZ20" s="117">
        <f t="shared" si="68"/>
        <v>6800.499999999999</v>
      </c>
      <c r="EA20" s="118">
        <f ca="1">IF(OR(DQ20&lt;&gt;"",DS20&lt;&gt;""),RANK(DZ20,DZ$11:INDIRECT(DZ$7,FALSE)),"")</f>
        <v>12</v>
      </c>
      <c r="EB20" s="119"/>
      <c r="EC20" s="5"/>
      <c r="ED20" s="113">
        <f t="shared" si="19"/>
      </c>
      <c r="EE20" s="21"/>
      <c r="EF20" s="114">
        <f t="shared" si="69"/>
      </c>
      <c r="EG20" s="114">
        <f t="shared" si="70"/>
        <v>0</v>
      </c>
      <c r="EH20" s="115">
        <f ca="1">IF(OR(EC20&lt;&gt;"",EE20&lt;&gt;""),RANK(EG20,EG$11:INDIRECT(EG$7,FALSE)),"")</f>
      </c>
      <c r="EI20" s="116"/>
      <c r="EJ20" s="117">
        <f t="shared" si="20"/>
      </c>
      <c r="EK20" s="120">
        <f>IF(AND($F$8&lt;11,EJ20&lt;&gt;""),HLOOKUP(MATCH(EY20,EZ20:FI20,0),Discards,1,FALSE),"")</f>
      </c>
      <c r="EL20" s="117">
        <f t="shared" si="71"/>
        <v>0</v>
      </c>
      <c r="EM20" s="118">
        <f ca="1">IF(OR(EC20&lt;&gt;"",EE20&lt;&gt;""),RANK(EL20,EL$11:INDIRECT(EL$7,FALSE)),"")</f>
      </c>
      <c r="EN20" s="121"/>
      <c r="EP20" s="112">
        <f t="shared" si="72"/>
        <v>1</v>
      </c>
      <c r="EQ20" s="28">
        <f>MIN($EZ20:FA20)</f>
        <v>830.8</v>
      </c>
      <c r="ER20" s="28">
        <f>MIN($EZ20:FB20)</f>
        <v>762.1</v>
      </c>
      <c r="ES20" s="28">
        <f>MIN($EZ20:FC20)</f>
        <v>762.1</v>
      </c>
      <c r="ET20" s="28">
        <f>MIN($EZ20:FD20)</f>
        <v>762.1</v>
      </c>
      <c r="EU20" s="28">
        <f>MIN($EZ20:FE20)</f>
        <v>762.1</v>
      </c>
      <c r="EV20" s="28">
        <f>MIN($EZ20:FF20)</f>
        <v>678.7</v>
      </c>
      <c r="EW20" s="28">
        <f>MIN($EZ20:FG20)</f>
        <v>678.7</v>
      </c>
      <c r="EX20" s="28">
        <f>MIN($EZ20:FH20)</f>
        <v>678.7</v>
      </c>
      <c r="EY20" s="28">
        <f>MIN($EZ20:FI20)</f>
        <v>678.7</v>
      </c>
      <c r="EZ20" s="28">
        <f t="shared" si="21"/>
        <v>840.2</v>
      </c>
      <c r="FA20" s="28">
        <f t="shared" si="22"/>
        <v>830.8</v>
      </c>
      <c r="FB20" s="28">
        <f t="shared" si="23"/>
        <v>762.1</v>
      </c>
      <c r="FC20" s="28">
        <f t="shared" si="24"/>
        <v>857.6</v>
      </c>
      <c r="FD20" s="28">
        <f t="shared" si="25"/>
        <v>981.3</v>
      </c>
      <c r="FE20" s="28">
        <f t="shared" si="26"/>
        <v>837.9</v>
      </c>
      <c r="FF20" s="28">
        <f t="shared" si="27"/>
        <v>678.7</v>
      </c>
      <c r="FG20" s="28">
        <f t="shared" si="28"/>
        <v>848.4</v>
      </c>
      <c r="FH20" s="28">
        <f t="shared" si="29"/>
        <v>842.2</v>
      </c>
      <c r="FI20" s="28">
        <f t="shared" si="30"/>
      </c>
      <c r="FL20" s="26">
        <f t="shared" si="73"/>
        <v>255000000</v>
      </c>
      <c r="FM20" s="26">
        <f t="shared" si="93"/>
        <v>255000</v>
      </c>
      <c r="FN20" s="26">
        <f t="shared" si="94"/>
        <v>255</v>
      </c>
      <c r="FO20" s="26">
        <f>IF(C20&lt;&gt;"",SUM(FL20:FN20),0)</f>
        <v>255255255</v>
      </c>
      <c r="FP20" s="26">
        <f ca="1">IF(FO20&gt;0,SMALL($FO$11:INDIRECT($FO$7,FALSE),A20),0)</f>
        <v>255255255</v>
      </c>
      <c r="FQ20" s="26">
        <f t="shared" si="74"/>
        <v>255</v>
      </c>
      <c r="FR20" s="26">
        <f t="shared" si="75"/>
        <v>255</v>
      </c>
      <c r="FS20" s="26">
        <f t="shared" si="76"/>
        <v>255</v>
      </c>
      <c r="FT20" s="26">
        <f t="shared" si="77"/>
      </c>
      <c r="FU20" s="26">
        <f t="shared" si="78"/>
        <v>24</v>
      </c>
      <c r="FV20" s="28">
        <f t="shared" si="31"/>
      </c>
      <c r="FW20" s="26">
        <f t="shared" si="92"/>
      </c>
      <c r="FX20" s="28">
        <f t="shared" si="79"/>
      </c>
      <c r="FY20" s="26">
        <f ca="1">IF(FX20&lt;&gt;"",RANK(FX20,FX$11:INDIRECT(FX$7,FALSE)),"")</f>
      </c>
      <c r="FZ20" s="26">
        <f t="shared" si="80"/>
      </c>
      <c r="GA20" s="26">
        <f t="shared" si="81"/>
      </c>
      <c r="GC20" s="27">
        <f t="shared" si="32"/>
      </c>
      <c r="GD20" s="27">
        <f t="shared" si="33"/>
      </c>
      <c r="GE20" s="27">
        <f t="shared" si="82"/>
      </c>
      <c r="GF20" s="27">
        <f t="shared" si="83"/>
      </c>
      <c r="GG20" s="27">
        <f t="shared" si="84"/>
        <v>0</v>
      </c>
      <c r="GH20" s="26">
        <f t="shared" si="85"/>
        <v>0</v>
      </c>
      <c r="GI20" s="26">
        <f t="shared" si="86"/>
        <v>0</v>
      </c>
      <c r="GJ20" s="26">
        <f t="shared" si="87"/>
        <v>0</v>
      </c>
      <c r="GK20" s="26">
        <f t="shared" si="88"/>
      </c>
      <c r="GL20" s="28">
        <f t="shared" si="89"/>
      </c>
      <c r="GM20" s="26">
        <f t="shared" si="90"/>
      </c>
    </row>
    <row r="21" spans="1:195" ht="12.75">
      <c r="A21" s="132">
        <f t="shared" si="91"/>
        <v>11</v>
      </c>
      <c r="B21" s="133"/>
      <c r="C21" s="134" t="s">
        <v>117</v>
      </c>
      <c r="D21" s="135" t="s">
        <v>119</v>
      </c>
      <c r="E21" s="134" t="s">
        <v>120</v>
      </c>
      <c r="F21" s="134"/>
      <c r="G21" s="149"/>
      <c r="H21" s="136">
        <f t="shared" si="34"/>
      </c>
      <c r="I21" s="137">
        <f t="shared" si="35"/>
        <v>7010.599999999999</v>
      </c>
      <c r="J21" s="137">
        <f>AD21+AO21+BA21+BM21+BY21+CK21+CW21+DI21+DU21+EG21-(MIN(EZ21:FI21)*$EY$2)</f>
        <v>7010.599999999999</v>
      </c>
      <c r="K21" s="140">
        <f ca="1">IF(I21&lt;&gt;"",RANK(I21,J$11:INDIRECT(J$7,FALSE)),"")</f>
        <v>8</v>
      </c>
      <c r="L21" s="137">
        <f t="shared" si="36"/>
      </c>
      <c r="M21" s="137">
        <f t="shared" si="37"/>
        <v>0</v>
      </c>
      <c r="N21" s="138">
        <f t="shared" si="1"/>
      </c>
      <c r="O21" s="159"/>
      <c r="P21" s="160">
        <f t="shared" si="38"/>
      </c>
      <c r="Q21" s="161"/>
      <c r="R21" s="162">
        <f t="shared" si="39"/>
      </c>
      <c r="S21" s="162">
        <f t="shared" si="40"/>
        <v>0</v>
      </c>
      <c r="T21" s="163">
        <f ca="1">IF(OR(O21&lt;&gt;"",Q21&lt;&gt;""),RANK(S21,S$11:INDIRECT(S$7,FALSE)),"")</f>
      </c>
      <c r="U21" s="164"/>
      <c r="V21" s="165"/>
      <c r="W21" s="165"/>
      <c r="X21" s="166"/>
      <c r="Y21" s="167"/>
      <c r="Z21" s="228">
        <v>67.07</v>
      </c>
      <c r="AA21" s="113">
        <f t="shared" si="41"/>
        <v>67.07</v>
      </c>
      <c r="AB21" s="21"/>
      <c r="AC21" s="114">
        <f t="shared" si="42"/>
        <v>815.6</v>
      </c>
      <c r="AD21" s="114">
        <f t="shared" si="43"/>
        <v>815.6</v>
      </c>
      <c r="AE21" s="115">
        <f ca="1">IF(OR(Z21&lt;&gt;"",AB21&lt;&gt;""),RANK(AD21,AD$11:INDIRECT(AD$7,FALSE)),"")</f>
        <v>17</v>
      </c>
      <c r="AF21" s="116"/>
      <c r="AG21" s="117">
        <f t="shared" si="44"/>
        <v>815.6</v>
      </c>
      <c r="AH21" s="117">
        <f t="shared" si="45"/>
        <v>815.6</v>
      </c>
      <c r="AI21" s="118">
        <f ca="1">IF(OR(Z21&lt;&gt;"",AB21&lt;&gt;""),RANK(AH21,AH$11:INDIRECT(AH$7,FALSE)),"")</f>
        <v>17</v>
      </c>
      <c r="AJ21" s="119"/>
      <c r="AK21" s="5">
        <v>59.19</v>
      </c>
      <c r="AL21" s="113">
        <f t="shared" si="2"/>
        <v>59.19</v>
      </c>
      <c r="AM21" s="21"/>
      <c r="AN21" s="114">
        <f t="shared" si="46"/>
        <v>880.7</v>
      </c>
      <c r="AO21" s="114">
        <f t="shared" si="47"/>
        <v>880.7</v>
      </c>
      <c r="AP21" s="115">
        <f ca="1">IF(OR(AK21&lt;&gt;"",AM21&lt;&gt;""),RANK(AO21,AO$11:INDIRECT(AO$7,FALSE)),"")</f>
        <v>9</v>
      </c>
      <c r="AQ21" s="116"/>
      <c r="AR21" s="117">
        <f t="shared" si="3"/>
        <v>1696.3000000000002</v>
      </c>
      <c r="AS21" s="120">
        <f>IF(AND($F$8&lt;3,AR21&lt;&gt;""),HLOOKUP(MATCH(EQ21,EZ21:FA21,0),Discards,1,FALSE),"")</f>
      </c>
      <c r="AT21" s="117">
        <f t="shared" si="4"/>
        <v>1696.3000000000002</v>
      </c>
      <c r="AU21" s="118">
        <f ca="1">IF(OR(AK21&lt;&gt;"",AM21&lt;&gt;""),RANK(AT21,AT$11:INDIRECT(AT$7,FALSE)),"")</f>
        <v>11</v>
      </c>
      <c r="AV21" s="119"/>
      <c r="AW21" s="5">
        <v>58.25</v>
      </c>
      <c r="AX21" s="113">
        <f t="shared" si="5"/>
        <v>58.25</v>
      </c>
      <c r="AY21" s="21"/>
      <c r="AZ21" s="114">
        <f t="shared" si="48"/>
        <v>809.6</v>
      </c>
      <c r="BA21" s="114">
        <f t="shared" si="49"/>
        <v>809.6</v>
      </c>
      <c r="BB21" s="115">
        <f ca="1">IF(OR(AW21&lt;&gt;"",AY21&lt;&gt;""),RANK(BA21,BA$11:INDIRECT(BA$7,FALSE)),"")</f>
        <v>15</v>
      </c>
      <c r="BC21" s="116"/>
      <c r="BD21" s="117">
        <f t="shared" si="6"/>
        <v>2505.9</v>
      </c>
      <c r="BE21" s="120">
        <f>IF(AND($F$8&lt;4,BD21&lt;&gt;""),HLOOKUP(MATCH(ER21,EZ21:FB21,0),Discards,1,FALSE),"")</f>
      </c>
      <c r="BF21" s="117">
        <f t="shared" si="50"/>
        <v>2505.9</v>
      </c>
      <c r="BG21" s="118">
        <f ca="1">IF(OR(AW21&lt;&gt;"",AY21&lt;&gt;""),RANK(BF21,BF$11:INDIRECT(BF$7,FALSE)),"")</f>
        <v>12</v>
      </c>
      <c r="BH21" s="119"/>
      <c r="BI21" s="5">
        <v>52.18</v>
      </c>
      <c r="BJ21" s="113">
        <f t="shared" si="7"/>
        <v>52.18</v>
      </c>
      <c r="BK21" s="21"/>
      <c r="BL21" s="114">
        <f t="shared" si="51"/>
        <v>940.8</v>
      </c>
      <c r="BM21" s="114">
        <f t="shared" si="52"/>
        <v>940.8</v>
      </c>
      <c r="BN21" s="115">
        <f ca="1">IF(OR(BI21&lt;&gt;"",BK21&lt;&gt;""),RANK(BM21,BM$11:INDIRECT(BM$7,FALSE)),"")</f>
        <v>5</v>
      </c>
      <c r="BO21" s="116"/>
      <c r="BP21" s="117">
        <f t="shared" si="8"/>
        <v>3446.7</v>
      </c>
      <c r="BQ21" s="120">
        <f>IF(AND($F$8&lt;5,BP21&lt;&gt;""),HLOOKUP(MATCH(ES21,EZ21:FC21,0),Discards,1,FALSE),"")</f>
      </c>
      <c r="BR21" s="117">
        <f t="shared" si="53"/>
        <v>3446.7</v>
      </c>
      <c r="BS21" s="118">
        <f ca="1">IF(OR(BI21&lt;&gt;"",BK21&lt;&gt;""),RANK(BR21,BR$11:INDIRECT(BR$7,FALSE)),"")</f>
        <v>10</v>
      </c>
      <c r="BT21" s="119"/>
      <c r="BU21" s="5">
        <v>51.09</v>
      </c>
      <c r="BV21" s="113">
        <f t="shared" si="9"/>
        <v>51.09</v>
      </c>
      <c r="BW21" s="21"/>
      <c r="BX21" s="114">
        <f t="shared" si="54"/>
        <v>895.1</v>
      </c>
      <c r="BY21" s="114">
        <f t="shared" si="55"/>
        <v>895.1</v>
      </c>
      <c r="BZ21" s="115">
        <f ca="1">IF(OR(BU21&lt;&gt;"",BW21&lt;&gt;""),RANK(BY21,BY$11:INDIRECT(BY$7,FALSE)),"")</f>
        <v>7</v>
      </c>
      <c r="CA21" s="116"/>
      <c r="CB21" s="117">
        <f t="shared" si="10"/>
        <v>3532.2000000000003</v>
      </c>
      <c r="CC21" s="120">
        <f>IF(AND($F$8&lt;6,CB21&lt;&gt;""),HLOOKUP(MATCH(ET21,EZ21:FD21,0),Discards,1,FALSE),"")</f>
        <v>3</v>
      </c>
      <c r="CD21" s="117">
        <f t="shared" si="56"/>
        <v>3532.2000000000003</v>
      </c>
      <c r="CE21" s="118">
        <f ca="1">IF(OR(BU21&lt;&gt;"",BW21&lt;&gt;""),RANK(CD21,CD$11:INDIRECT(CD$7,FALSE)),"")</f>
        <v>10</v>
      </c>
      <c r="CF21" s="119"/>
      <c r="CG21" s="5">
        <v>59.18</v>
      </c>
      <c r="CH21" s="113">
        <f t="shared" si="11"/>
        <v>59.18</v>
      </c>
      <c r="CI21" s="21"/>
      <c r="CJ21" s="114">
        <f t="shared" si="57"/>
        <v>833.9</v>
      </c>
      <c r="CK21" s="114">
        <f t="shared" si="58"/>
        <v>833.9</v>
      </c>
      <c r="CL21" s="115">
        <f ca="1">IF(OR(CG21&lt;&gt;"",CI21&lt;&gt;""),RANK(CK21,CK$11:INDIRECT(CK$7,FALSE)),"")</f>
        <v>14</v>
      </c>
      <c r="CM21" s="116"/>
      <c r="CN21" s="117">
        <f t="shared" si="12"/>
        <v>4366.099999999999</v>
      </c>
      <c r="CO21" s="120">
        <f>IF(AND($F$8&lt;7,CN21&lt;&gt;""),HLOOKUP(MATCH(EU21,EZ21:FE21,0),Discards,1,FALSE),"")</f>
        <v>3</v>
      </c>
      <c r="CP21" s="117">
        <f t="shared" si="59"/>
        <v>4366.099999999999</v>
      </c>
      <c r="CQ21" s="118">
        <f ca="1">IF(OR(CG21&lt;&gt;"",CI21&lt;&gt;""),RANK(CP21,CP$11:INDIRECT(CP$7,FALSE)),"")</f>
        <v>12</v>
      </c>
      <c r="CR21" s="119"/>
      <c r="CS21" s="5">
        <v>51.21</v>
      </c>
      <c r="CT21" s="113">
        <f t="shared" si="13"/>
        <v>51.21</v>
      </c>
      <c r="CU21" s="21"/>
      <c r="CV21" s="114">
        <f t="shared" si="60"/>
        <v>780.7</v>
      </c>
      <c r="CW21" s="114">
        <f t="shared" si="61"/>
        <v>780.7</v>
      </c>
      <c r="CX21" s="115">
        <f ca="1">IF(OR(CS21&lt;&gt;"",CU21&lt;&gt;""),RANK(CW21,CW$11:INDIRECT(CW$7,FALSE)),"")</f>
        <v>7</v>
      </c>
      <c r="CY21" s="116"/>
      <c r="CZ21" s="117">
        <f t="shared" si="14"/>
        <v>5175.7</v>
      </c>
      <c r="DA21" s="120">
        <f>IF(AND($F$8&lt;8,CZ21&lt;&gt;""),HLOOKUP(MATCH(EV21,EZ21:FF21,0),Discards,1,FALSE),"")</f>
        <v>7</v>
      </c>
      <c r="DB21" s="117">
        <f t="shared" si="62"/>
        <v>5175.7</v>
      </c>
      <c r="DC21" s="118">
        <f ca="1">IF(OR(CS21&lt;&gt;"",CU21&lt;&gt;""),RANK(DB21,DB$11:INDIRECT(DB$7,FALSE)),"")</f>
        <v>11</v>
      </c>
      <c r="DD21" s="119"/>
      <c r="DE21" s="5">
        <v>50.19</v>
      </c>
      <c r="DF21" s="113">
        <f t="shared" si="15"/>
        <v>50.19</v>
      </c>
      <c r="DG21" s="21"/>
      <c r="DH21" s="114">
        <f t="shared" si="63"/>
        <v>859.7</v>
      </c>
      <c r="DI21" s="114">
        <f t="shared" si="64"/>
        <v>859.7</v>
      </c>
      <c r="DJ21" s="115">
        <f ca="1">IF(OR(DE21&lt;&gt;"",DG21&lt;&gt;""),RANK(DI21,DI$11:INDIRECT(DI$7,FALSE)),"")</f>
        <v>9</v>
      </c>
      <c r="DK21" s="116"/>
      <c r="DL21" s="117">
        <f t="shared" si="16"/>
        <v>6035.4</v>
      </c>
      <c r="DM21" s="120">
        <f>IF(AND($F$8&lt;9,DL21&lt;&gt;""),HLOOKUP(MATCH(EW21,EZ21:FG21,0),Discards,1,FALSE),"")</f>
        <v>7</v>
      </c>
      <c r="DN21" s="117">
        <f t="shared" si="65"/>
        <v>6035.4</v>
      </c>
      <c r="DO21" s="118">
        <f ca="1">IF(OR(DE21&lt;&gt;"",DG21&lt;&gt;""),RANK(DN21,DN$11:INDIRECT(DN$7,FALSE)),"")</f>
        <v>10</v>
      </c>
      <c r="DP21" s="119"/>
      <c r="DQ21" s="5">
        <v>44.67</v>
      </c>
      <c r="DR21" s="113">
        <f t="shared" si="17"/>
        <v>44.67</v>
      </c>
      <c r="DS21" s="21"/>
      <c r="DT21" s="114">
        <f t="shared" si="66"/>
        <v>975.2</v>
      </c>
      <c r="DU21" s="114">
        <f t="shared" si="67"/>
        <v>975.2</v>
      </c>
      <c r="DV21" s="115">
        <f ca="1">IF(OR(DQ21&lt;&gt;"",DS21&lt;&gt;""),RANK(DU21,DU$11:INDIRECT(DU$7,FALSE)),"")</f>
        <v>3</v>
      </c>
      <c r="DW21" s="116"/>
      <c r="DX21" s="117">
        <f t="shared" si="18"/>
        <v>7010.599999999999</v>
      </c>
      <c r="DY21" s="120">
        <f>IF(AND($F$8&lt;10,DX21&lt;&gt;""),HLOOKUP(MATCH(EX21,EZ21:FH21,0),Discards,1,FALSE),"")</f>
        <v>7</v>
      </c>
      <c r="DZ21" s="117">
        <f t="shared" si="68"/>
        <v>7010.599999999999</v>
      </c>
      <c r="EA21" s="118">
        <f ca="1">IF(OR(DQ21&lt;&gt;"",DS21&lt;&gt;""),RANK(DZ21,DZ$11:INDIRECT(DZ$7,FALSE)),"")</f>
        <v>8</v>
      </c>
      <c r="EB21" s="119"/>
      <c r="EC21" s="5"/>
      <c r="ED21" s="113">
        <f t="shared" si="19"/>
      </c>
      <c r="EE21" s="21"/>
      <c r="EF21" s="114">
        <f t="shared" si="69"/>
      </c>
      <c r="EG21" s="114">
        <f t="shared" si="70"/>
        <v>0</v>
      </c>
      <c r="EH21" s="115">
        <f ca="1">IF(OR(EC21&lt;&gt;"",EE21&lt;&gt;""),RANK(EG21,EG$11:INDIRECT(EG$7,FALSE)),"")</f>
      </c>
      <c r="EI21" s="116"/>
      <c r="EJ21" s="117">
        <f t="shared" si="20"/>
      </c>
      <c r="EK21" s="120">
        <f>IF(AND($F$8&lt;11,EJ21&lt;&gt;""),HLOOKUP(MATCH(EY21,EZ21:FI21,0),Discards,1,FALSE),"")</f>
      </c>
      <c r="EL21" s="117">
        <f t="shared" si="71"/>
        <v>0</v>
      </c>
      <c r="EM21" s="118">
        <f ca="1">IF(OR(EC21&lt;&gt;"",EE21&lt;&gt;""),RANK(EL21,EL$11:INDIRECT(EL$7,FALSE)),"")</f>
      </c>
      <c r="EN21" s="121"/>
      <c r="EP21" s="112">
        <f t="shared" si="72"/>
        <v>1</v>
      </c>
      <c r="EQ21" s="28">
        <f>MIN($EZ21:FA21)</f>
        <v>815.6</v>
      </c>
      <c r="ER21" s="28">
        <f>MIN($EZ21:FB21)</f>
        <v>809.6</v>
      </c>
      <c r="ES21" s="28">
        <f>MIN($EZ21:FC21)</f>
        <v>809.6</v>
      </c>
      <c r="ET21" s="28">
        <f>MIN($EZ21:FD21)</f>
        <v>809.6</v>
      </c>
      <c r="EU21" s="28">
        <f>MIN($EZ21:FE21)</f>
        <v>809.6</v>
      </c>
      <c r="EV21" s="28">
        <f>MIN($EZ21:FF21)</f>
        <v>780.7</v>
      </c>
      <c r="EW21" s="28">
        <f>MIN($EZ21:FG21)</f>
        <v>780.7</v>
      </c>
      <c r="EX21" s="28">
        <f>MIN($EZ21:FH21)</f>
        <v>780.7</v>
      </c>
      <c r="EY21" s="28">
        <f>MIN($EZ21:FI21)</f>
        <v>780.7</v>
      </c>
      <c r="EZ21" s="28">
        <f t="shared" si="21"/>
        <v>815.6</v>
      </c>
      <c r="FA21" s="28">
        <f t="shared" si="22"/>
        <v>880.7</v>
      </c>
      <c r="FB21" s="28">
        <f t="shared" si="23"/>
        <v>809.6</v>
      </c>
      <c r="FC21" s="28">
        <f t="shared" si="24"/>
        <v>940.8</v>
      </c>
      <c r="FD21" s="28">
        <f t="shared" si="25"/>
        <v>895.1</v>
      </c>
      <c r="FE21" s="28">
        <f t="shared" si="26"/>
        <v>833.9</v>
      </c>
      <c r="FF21" s="28">
        <f t="shared" si="27"/>
        <v>780.7</v>
      </c>
      <c r="FG21" s="28">
        <f t="shared" si="28"/>
        <v>859.7</v>
      </c>
      <c r="FH21" s="28">
        <f t="shared" si="29"/>
        <v>975.2</v>
      </c>
      <c r="FI21" s="28">
        <f t="shared" si="30"/>
      </c>
      <c r="FL21" s="26">
        <f t="shared" si="73"/>
        <v>255000000</v>
      </c>
      <c r="FM21" s="26">
        <f t="shared" si="93"/>
        <v>255000</v>
      </c>
      <c r="FN21" s="26">
        <f t="shared" si="94"/>
        <v>255</v>
      </c>
      <c r="FO21" s="26">
        <f>IF(C21&lt;&gt;"",SUM(FL21:FN21),0)</f>
        <v>255255255</v>
      </c>
      <c r="FP21" s="26">
        <f ca="1">IF(FO21&gt;0,SMALL($FO$11:INDIRECT($FO$7,FALSE),A21),0)</f>
        <v>255255255</v>
      </c>
      <c r="FQ21" s="26">
        <f t="shared" si="74"/>
        <v>255</v>
      </c>
      <c r="FR21" s="26">
        <f t="shared" si="75"/>
        <v>255</v>
      </c>
      <c r="FS21" s="26">
        <f t="shared" si="76"/>
        <v>255</v>
      </c>
      <c r="FT21" s="26">
        <f t="shared" si="77"/>
      </c>
      <c r="FU21" s="26">
        <f t="shared" si="78"/>
        <v>24</v>
      </c>
      <c r="FV21" s="28">
        <f t="shared" si="31"/>
      </c>
      <c r="FW21" s="26">
        <f t="shared" si="92"/>
      </c>
      <c r="FX21" s="28">
        <f t="shared" si="79"/>
      </c>
      <c r="FY21" s="26">
        <f ca="1">IF(FX21&lt;&gt;"",RANK(FX21,FX$11:INDIRECT(FX$7,FALSE)),"")</f>
      </c>
      <c r="FZ21" s="26">
        <f t="shared" si="80"/>
      </c>
      <c r="GA21" s="26">
        <f t="shared" si="81"/>
      </c>
      <c r="GC21" s="27">
        <f t="shared" si="32"/>
      </c>
      <c r="GD21" s="27">
        <f t="shared" si="33"/>
      </c>
      <c r="GE21" s="27">
        <f t="shared" si="82"/>
      </c>
      <c r="GF21" s="27">
        <f t="shared" si="83"/>
      </c>
      <c r="GG21" s="27">
        <f t="shared" si="84"/>
        <v>0</v>
      </c>
      <c r="GH21" s="26">
        <f t="shared" si="85"/>
        <v>0</v>
      </c>
      <c r="GI21" s="26">
        <f t="shared" si="86"/>
        <v>0</v>
      </c>
      <c r="GJ21" s="26">
        <f t="shared" si="87"/>
        <v>0</v>
      </c>
      <c r="GK21" s="26">
        <f t="shared" si="88"/>
      </c>
      <c r="GL21" s="28">
        <f t="shared" si="89"/>
      </c>
      <c r="GM21" s="26">
        <f t="shared" si="90"/>
      </c>
    </row>
    <row r="22" spans="1:195" ht="12.75">
      <c r="A22" s="132">
        <f t="shared" si="91"/>
        <v>12</v>
      </c>
      <c r="B22" s="133"/>
      <c r="C22" s="134" t="s">
        <v>121</v>
      </c>
      <c r="D22" s="135" t="s">
        <v>94</v>
      </c>
      <c r="E22" s="134" t="s">
        <v>122</v>
      </c>
      <c r="F22" s="134"/>
      <c r="G22" s="149"/>
      <c r="H22" s="136">
        <f t="shared" si="34"/>
      </c>
      <c r="I22" s="137">
        <f t="shared" si="35"/>
        <v>7171.900000000001</v>
      </c>
      <c r="J22" s="137">
        <f>AD22+AO22+BA22+BM22+BY22+CK22+CW22+DI22+DU22+EG22-(MIN(EZ22:FI22)*$EY$2)</f>
        <v>7171.900000000001</v>
      </c>
      <c r="K22" s="140">
        <f ca="1">IF(I22&lt;&gt;"",RANK(I22,J$11:INDIRECT(J$7,FALSE)),"")</f>
        <v>4</v>
      </c>
      <c r="L22" s="137">
        <f t="shared" si="36"/>
      </c>
      <c r="M22" s="137">
        <f t="shared" si="37"/>
        <v>0</v>
      </c>
      <c r="N22" s="138">
        <f t="shared" si="1"/>
      </c>
      <c r="O22" s="159"/>
      <c r="P22" s="160">
        <f t="shared" si="38"/>
      </c>
      <c r="Q22" s="161"/>
      <c r="R22" s="162">
        <f t="shared" si="39"/>
      </c>
      <c r="S22" s="162">
        <f t="shared" si="40"/>
        <v>0</v>
      </c>
      <c r="T22" s="163">
        <f ca="1">IF(OR(O22&lt;&gt;"",Q22&lt;&gt;""),RANK(S22,S$11:INDIRECT(S$7,FALSE)),"")</f>
      </c>
      <c r="U22" s="164"/>
      <c r="V22" s="165"/>
      <c r="W22" s="165"/>
      <c r="X22" s="166"/>
      <c r="Y22" s="167"/>
      <c r="Z22" s="228">
        <v>66.89</v>
      </c>
      <c r="AA22" s="113">
        <f t="shared" si="41"/>
        <v>66.89</v>
      </c>
      <c r="AB22" s="21"/>
      <c r="AC22" s="114">
        <f t="shared" si="42"/>
        <v>817.8</v>
      </c>
      <c r="AD22" s="114">
        <f t="shared" si="43"/>
        <v>817.8</v>
      </c>
      <c r="AE22" s="115">
        <f ca="1">IF(OR(Z22&lt;&gt;"",AB22&lt;&gt;""),RANK(AD22,AD$11:INDIRECT(AD$7,FALSE)),"")</f>
        <v>16</v>
      </c>
      <c r="AF22" s="116"/>
      <c r="AG22" s="117">
        <f t="shared" si="44"/>
        <v>817.8</v>
      </c>
      <c r="AH22" s="117">
        <f t="shared" si="45"/>
        <v>817.8</v>
      </c>
      <c r="AI22" s="118">
        <f ca="1">IF(OR(Z22&lt;&gt;"",AB22&lt;&gt;""),RANK(AH22,AH$11:INDIRECT(AH$7,FALSE)),"")</f>
        <v>16</v>
      </c>
      <c r="AJ22" s="119"/>
      <c r="AK22" s="5">
        <v>53.86</v>
      </c>
      <c r="AL22" s="113">
        <f t="shared" si="2"/>
        <v>53.86</v>
      </c>
      <c r="AM22" s="21"/>
      <c r="AN22" s="114">
        <f t="shared" si="46"/>
        <v>967.9</v>
      </c>
      <c r="AO22" s="114">
        <f t="shared" si="47"/>
        <v>967.9</v>
      </c>
      <c r="AP22" s="115">
        <f ca="1">IF(OR(AK22&lt;&gt;"",AM22&lt;&gt;""),RANK(AO22,AO$11:INDIRECT(AO$7,FALSE)),"")</f>
        <v>2</v>
      </c>
      <c r="AQ22" s="116"/>
      <c r="AR22" s="117">
        <f t="shared" si="3"/>
        <v>1785.6999999999998</v>
      </c>
      <c r="AS22" s="120">
        <f>IF(AND($F$8&lt;3,AR22&lt;&gt;""),HLOOKUP(MATCH(EQ22,EZ22:FA22,0),Discards,1,FALSE),"")</f>
      </c>
      <c r="AT22" s="117">
        <f t="shared" si="4"/>
        <v>1785.6999999999998</v>
      </c>
      <c r="AU22" s="118">
        <f ca="1">IF(OR(AK22&lt;&gt;"",AM22&lt;&gt;""),RANK(AT22,AT$11:INDIRECT(AT$7,FALSE)),"")</f>
        <v>6</v>
      </c>
      <c r="AV22" s="119"/>
      <c r="AW22" s="5">
        <v>52.1</v>
      </c>
      <c r="AX22" s="113">
        <f t="shared" si="5"/>
        <v>52.1</v>
      </c>
      <c r="AY22" s="21"/>
      <c r="AZ22" s="114">
        <f t="shared" si="48"/>
        <v>905.2</v>
      </c>
      <c r="BA22" s="114">
        <f t="shared" si="49"/>
        <v>905.2</v>
      </c>
      <c r="BB22" s="115">
        <f ca="1">IF(OR(AW22&lt;&gt;"",AY22&lt;&gt;""),RANK(BA22,BA$11:INDIRECT(BA$7,FALSE)),"")</f>
        <v>4</v>
      </c>
      <c r="BC22" s="116"/>
      <c r="BD22" s="117">
        <f t="shared" si="6"/>
        <v>2690.8999999999996</v>
      </c>
      <c r="BE22" s="120">
        <f>IF(AND($F$8&lt;4,BD22&lt;&gt;""),HLOOKUP(MATCH(ER22,EZ22:FB22,0),Discards,1,FALSE),"")</f>
      </c>
      <c r="BF22" s="117">
        <f t="shared" si="50"/>
        <v>2690.8999999999996</v>
      </c>
      <c r="BG22" s="118">
        <f ca="1">IF(OR(AW22&lt;&gt;"",AY22&lt;&gt;""),RANK(BF22,BF$11:INDIRECT(BF$7,FALSE)),"")</f>
        <v>4</v>
      </c>
      <c r="BH22" s="119"/>
      <c r="BI22" s="5">
        <v>53.22</v>
      </c>
      <c r="BJ22" s="113">
        <f t="shared" si="7"/>
        <v>53.22</v>
      </c>
      <c r="BK22" s="21"/>
      <c r="BL22" s="114">
        <f t="shared" si="51"/>
        <v>922.4</v>
      </c>
      <c r="BM22" s="114">
        <f t="shared" si="52"/>
        <v>922.4</v>
      </c>
      <c r="BN22" s="115">
        <f ca="1">IF(OR(BI22&lt;&gt;"",BK22&lt;&gt;""),RANK(BM22,BM$11:INDIRECT(BM$7,FALSE)),"")</f>
        <v>6</v>
      </c>
      <c r="BO22" s="116"/>
      <c r="BP22" s="117">
        <f t="shared" si="8"/>
        <v>3613.2999999999997</v>
      </c>
      <c r="BQ22" s="120">
        <f>IF(AND($F$8&lt;5,BP22&lt;&gt;""),HLOOKUP(MATCH(ES22,EZ22:FC22,0),Discards,1,FALSE),"")</f>
      </c>
      <c r="BR22" s="117">
        <f t="shared" si="53"/>
        <v>3613.2999999999997</v>
      </c>
      <c r="BS22" s="118">
        <f ca="1">IF(OR(BI22&lt;&gt;"",BK22&lt;&gt;""),RANK(BR22,BR$11:INDIRECT(BR$7,FALSE)),"")</f>
        <v>4</v>
      </c>
      <c r="BT22" s="119"/>
      <c r="BU22" s="5">
        <v>48.88</v>
      </c>
      <c r="BV22" s="113">
        <f t="shared" si="9"/>
        <v>48.88</v>
      </c>
      <c r="BW22" s="21"/>
      <c r="BX22" s="114">
        <f t="shared" si="54"/>
        <v>935.6</v>
      </c>
      <c r="BY22" s="114">
        <f t="shared" si="55"/>
        <v>935.6</v>
      </c>
      <c r="BZ22" s="115">
        <f ca="1">IF(OR(BU22&lt;&gt;"",BW22&lt;&gt;""),RANK(BY22,BY$11:INDIRECT(BY$7,FALSE)),"")</f>
        <v>4</v>
      </c>
      <c r="CA22" s="116"/>
      <c r="CB22" s="117">
        <f t="shared" si="10"/>
        <v>3731.0999999999995</v>
      </c>
      <c r="CC22" s="120">
        <f>IF(AND($F$8&lt;6,CB22&lt;&gt;""),HLOOKUP(MATCH(ET22,EZ22:FD22,0),Discards,1,FALSE),"")</f>
        <v>1</v>
      </c>
      <c r="CD22" s="117">
        <f t="shared" si="56"/>
        <v>3731.0999999999995</v>
      </c>
      <c r="CE22" s="118">
        <f ca="1">IF(OR(BU22&lt;&gt;"",BW22&lt;&gt;""),RANK(CD22,CD$11:INDIRECT(CD$7,FALSE)),"")</f>
        <v>2</v>
      </c>
      <c r="CF22" s="119"/>
      <c r="CG22" s="5">
        <v>62.75</v>
      </c>
      <c r="CH22" s="113">
        <f t="shared" si="11"/>
        <v>62.75</v>
      </c>
      <c r="CI22" s="21"/>
      <c r="CJ22" s="114">
        <f t="shared" si="57"/>
        <v>786.5</v>
      </c>
      <c r="CK22" s="114">
        <f t="shared" si="58"/>
        <v>786.5</v>
      </c>
      <c r="CL22" s="115">
        <f ca="1">IF(OR(CG22&lt;&gt;"",CI22&lt;&gt;""),RANK(CK22,CK$11:INDIRECT(CK$7,FALSE)),"")</f>
        <v>20</v>
      </c>
      <c r="CM22" s="116"/>
      <c r="CN22" s="117">
        <f t="shared" si="12"/>
        <v>4548.9</v>
      </c>
      <c r="CO22" s="120">
        <f>IF(AND($F$8&lt;7,CN22&lt;&gt;""),HLOOKUP(MATCH(EU22,EZ22:FE22,0),Discards,1,FALSE),"")</f>
        <v>6</v>
      </c>
      <c r="CP22" s="117">
        <f t="shared" si="59"/>
        <v>4548.9</v>
      </c>
      <c r="CQ22" s="118">
        <f ca="1">IF(OR(CG22&lt;&gt;"",CI22&lt;&gt;""),RANK(CP22,CP$11:INDIRECT(CP$7,FALSE)),"")</f>
        <v>5</v>
      </c>
      <c r="CR22" s="119"/>
      <c r="CS22" s="5">
        <v>48.63</v>
      </c>
      <c r="CT22" s="113">
        <f t="shared" si="13"/>
        <v>48.63</v>
      </c>
      <c r="CU22" s="21"/>
      <c r="CV22" s="114">
        <f t="shared" si="60"/>
        <v>822.1</v>
      </c>
      <c r="CW22" s="114">
        <f t="shared" si="61"/>
        <v>822.1</v>
      </c>
      <c r="CX22" s="115">
        <f ca="1">IF(OR(CS22&lt;&gt;"",CU22&lt;&gt;""),RANK(CW22,CW$11:INDIRECT(CW$7,FALSE)),"")</f>
        <v>5</v>
      </c>
      <c r="CY22" s="116"/>
      <c r="CZ22" s="117">
        <f t="shared" si="14"/>
        <v>5371</v>
      </c>
      <c r="DA22" s="120">
        <f>IF(AND($F$8&lt;8,CZ22&lt;&gt;""),HLOOKUP(MATCH(EV22,EZ22:FF22,0),Discards,1,FALSE),"")</f>
        <v>6</v>
      </c>
      <c r="DB22" s="117">
        <f t="shared" si="62"/>
        <v>5371</v>
      </c>
      <c r="DC22" s="118">
        <f ca="1">IF(OR(CS22&lt;&gt;"",CU22&lt;&gt;""),RANK(DB22,DB$11:INDIRECT(DB$7,FALSE)),"")</f>
        <v>5</v>
      </c>
      <c r="DD22" s="119"/>
      <c r="DE22" s="5">
        <v>52.52</v>
      </c>
      <c r="DF22" s="113">
        <f t="shared" si="15"/>
        <v>52.52</v>
      </c>
      <c r="DG22" s="21"/>
      <c r="DH22" s="114">
        <f t="shared" si="63"/>
        <v>821.6</v>
      </c>
      <c r="DI22" s="114">
        <f t="shared" si="64"/>
        <v>821.6</v>
      </c>
      <c r="DJ22" s="115">
        <f ca="1">IF(OR(DE22&lt;&gt;"",DG22&lt;&gt;""),RANK(DI22,DI$11:INDIRECT(DI$7,FALSE)),"")</f>
        <v>12</v>
      </c>
      <c r="DK22" s="116"/>
      <c r="DL22" s="117">
        <f t="shared" si="16"/>
        <v>6192.6</v>
      </c>
      <c r="DM22" s="120">
        <f>IF(AND($F$8&lt;9,DL22&lt;&gt;""),HLOOKUP(MATCH(EW22,EZ22:FG22,0),Discards,1,FALSE),"")</f>
        <v>6</v>
      </c>
      <c r="DN22" s="117">
        <f t="shared" si="65"/>
        <v>6192.6</v>
      </c>
      <c r="DO22" s="118">
        <f ca="1">IF(OR(DE22&lt;&gt;"",DG22&lt;&gt;""),RANK(DN22,DN$11:INDIRECT(DN$7,FALSE)),"")</f>
        <v>6</v>
      </c>
      <c r="DP22" s="119"/>
      <c r="DQ22" s="5">
        <v>44.48</v>
      </c>
      <c r="DR22" s="113">
        <f t="shared" si="17"/>
        <v>44.48</v>
      </c>
      <c r="DS22" s="21"/>
      <c r="DT22" s="114">
        <f t="shared" si="66"/>
        <v>979.3</v>
      </c>
      <c r="DU22" s="114">
        <f t="shared" si="67"/>
        <v>979.3</v>
      </c>
      <c r="DV22" s="115">
        <f ca="1">IF(OR(DQ22&lt;&gt;"",DS22&lt;&gt;""),RANK(DU22,DU$11:INDIRECT(DU$7,FALSE)),"")</f>
        <v>2</v>
      </c>
      <c r="DW22" s="116"/>
      <c r="DX22" s="117">
        <f t="shared" si="18"/>
        <v>7171.900000000001</v>
      </c>
      <c r="DY22" s="120">
        <f>IF(AND($F$8&lt;10,DX22&lt;&gt;""),HLOOKUP(MATCH(EX22,EZ22:FH22,0),Discards,1,FALSE),"")</f>
        <v>6</v>
      </c>
      <c r="DZ22" s="117">
        <f t="shared" si="68"/>
        <v>7171.900000000001</v>
      </c>
      <c r="EA22" s="118">
        <f ca="1">IF(OR(DQ22&lt;&gt;"",DS22&lt;&gt;""),RANK(DZ22,DZ$11:INDIRECT(DZ$7,FALSE)),"")</f>
        <v>4</v>
      </c>
      <c r="EB22" s="119"/>
      <c r="EC22" s="5"/>
      <c r="ED22" s="113">
        <f t="shared" si="19"/>
      </c>
      <c r="EE22" s="21"/>
      <c r="EF22" s="114">
        <f t="shared" si="69"/>
      </c>
      <c r="EG22" s="114">
        <f t="shared" si="70"/>
        <v>0</v>
      </c>
      <c r="EH22" s="115">
        <f ca="1">IF(OR(EC22&lt;&gt;"",EE22&lt;&gt;""),RANK(EG22,EG$11:INDIRECT(EG$7,FALSE)),"")</f>
      </c>
      <c r="EI22" s="116"/>
      <c r="EJ22" s="117">
        <f t="shared" si="20"/>
      </c>
      <c r="EK22" s="120">
        <f>IF(AND($F$8&lt;11,EJ22&lt;&gt;""),HLOOKUP(MATCH(EY22,EZ22:FI22,0),Discards,1,FALSE),"")</f>
      </c>
      <c r="EL22" s="117">
        <f t="shared" si="71"/>
        <v>0</v>
      </c>
      <c r="EM22" s="118">
        <f ca="1">IF(OR(EC22&lt;&gt;"",EE22&lt;&gt;""),RANK(EL22,EL$11:INDIRECT(EL$7,FALSE)),"")</f>
      </c>
      <c r="EN22" s="121"/>
      <c r="EP22" s="112">
        <f t="shared" si="72"/>
        <v>1</v>
      </c>
      <c r="EQ22" s="28">
        <f>MIN($EZ22:FA22)</f>
        <v>817.8</v>
      </c>
      <c r="ER22" s="28">
        <f>MIN($EZ22:FB22)</f>
        <v>817.8</v>
      </c>
      <c r="ES22" s="28">
        <f>MIN($EZ22:FC22)</f>
        <v>817.8</v>
      </c>
      <c r="ET22" s="28">
        <f>MIN($EZ22:FD22)</f>
        <v>817.8</v>
      </c>
      <c r="EU22" s="28">
        <f>MIN($EZ22:FE22)</f>
        <v>786.5</v>
      </c>
      <c r="EV22" s="28">
        <f>MIN($EZ22:FF22)</f>
        <v>786.5</v>
      </c>
      <c r="EW22" s="28">
        <f>MIN($EZ22:FG22)</f>
        <v>786.5</v>
      </c>
      <c r="EX22" s="28">
        <f>MIN($EZ22:FH22)</f>
        <v>786.5</v>
      </c>
      <c r="EY22" s="28">
        <f>MIN($EZ22:FI22)</f>
        <v>786.5</v>
      </c>
      <c r="EZ22" s="28">
        <f t="shared" si="21"/>
        <v>817.8</v>
      </c>
      <c r="FA22" s="28">
        <f t="shared" si="22"/>
        <v>967.9</v>
      </c>
      <c r="FB22" s="28">
        <f t="shared" si="23"/>
        <v>905.2</v>
      </c>
      <c r="FC22" s="28">
        <f t="shared" si="24"/>
        <v>922.4</v>
      </c>
      <c r="FD22" s="28">
        <f t="shared" si="25"/>
        <v>935.6</v>
      </c>
      <c r="FE22" s="28">
        <f t="shared" si="26"/>
        <v>786.5</v>
      </c>
      <c r="FF22" s="28">
        <f t="shared" si="27"/>
        <v>822.1</v>
      </c>
      <c r="FG22" s="28">
        <f t="shared" si="28"/>
        <v>821.6</v>
      </c>
      <c r="FH22" s="28">
        <f t="shared" si="29"/>
        <v>979.3</v>
      </c>
      <c r="FI22" s="28">
        <f t="shared" si="30"/>
      </c>
      <c r="FL22" s="26">
        <f t="shared" si="73"/>
        <v>255000000</v>
      </c>
      <c r="FM22" s="26">
        <f t="shared" si="93"/>
        <v>255000</v>
      </c>
      <c r="FN22" s="26">
        <f t="shared" si="94"/>
        <v>255</v>
      </c>
      <c r="FO22" s="26">
        <f>IF(C22&lt;&gt;"",SUM(FL22:FN22),0)</f>
        <v>255255255</v>
      </c>
      <c r="FP22" s="26">
        <f ca="1">IF(FO22&gt;0,SMALL($FO$11:INDIRECT($FO$7,FALSE),A22),0)</f>
        <v>255255255</v>
      </c>
      <c r="FQ22" s="26">
        <f t="shared" si="74"/>
        <v>255</v>
      </c>
      <c r="FR22" s="26">
        <f t="shared" si="75"/>
        <v>255</v>
      </c>
      <c r="FS22" s="26">
        <f t="shared" si="76"/>
        <v>255</v>
      </c>
      <c r="FT22" s="26">
        <f t="shared" si="77"/>
      </c>
      <c r="FU22" s="26">
        <f t="shared" si="78"/>
        <v>24</v>
      </c>
      <c r="FV22" s="28">
        <f t="shared" si="31"/>
      </c>
      <c r="FW22" s="26">
        <f t="shared" si="92"/>
      </c>
      <c r="FX22" s="28">
        <f t="shared" si="79"/>
      </c>
      <c r="FY22" s="26">
        <f ca="1">IF(FX22&lt;&gt;"",RANK(FX22,FX$11:INDIRECT(FX$7,FALSE)),"")</f>
      </c>
      <c r="FZ22" s="26">
        <f t="shared" si="80"/>
      </c>
      <c r="GA22" s="26">
        <f t="shared" si="81"/>
      </c>
      <c r="GC22" s="27">
        <f t="shared" si="32"/>
      </c>
      <c r="GD22" s="27">
        <f t="shared" si="33"/>
      </c>
      <c r="GE22" s="27">
        <f t="shared" si="82"/>
      </c>
      <c r="GF22" s="27">
        <f t="shared" si="83"/>
      </c>
      <c r="GG22" s="27">
        <f t="shared" si="84"/>
        <v>0</v>
      </c>
      <c r="GH22" s="26">
        <f t="shared" si="85"/>
        <v>0</v>
      </c>
      <c r="GI22" s="26">
        <f t="shared" si="86"/>
        <v>0</v>
      </c>
      <c r="GJ22" s="26">
        <f t="shared" si="87"/>
        <v>0</v>
      </c>
      <c r="GK22" s="26">
        <f t="shared" si="88"/>
      </c>
      <c r="GL22" s="28">
        <f t="shared" si="89"/>
      </c>
      <c r="GM22" s="26">
        <f t="shared" si="90"/>
      </c>
    </row>
    <row r="23" spans="1:195" ht="12.75">
      <c r="A23" s="16">
        <f t="shared" si="91"/>
        <v>13</v>
      </c>
      <c r="B23" s="17"/>
      <c r="C23" s="18" t="s">
        <v>123</v>
      </c>
      <c r="D23" s="19" t="s">
        <v>124</v>
      </c>
      <c r="E23" s="18" t="s">
        <v>125</v>
      </c>
      <c r="F23" s="18"/>
      <c r="G23" s="148"/>
      <c r="H23" s="122">
        <f t="shared" si="34"/>
      </c>
      <c r="I23" s="30">
        <f t="shared" si="35"/>
        <v>7226.799999999999</v>
      </c>
      <c r="J23" s="30">
        <f>AD23+AO23+BA23+BM23+BY23+CK23+CW23+DI23+DU23+EG23-(MIN(EZ23:FI23)*$EY$2)</f>
        <v>7226.799999999999</v>
      </c>
      <c r="K23" s="139">
        <f ca="1">IF(I23&lt;&gt;"",RANK(I23,J$11:INDIRECT(J$7,FALSE)),"")</f>
        <v>3</v>
      </c>
      <c r="L23" s="102">
        <f t="shared" si="36"/>
      </c>
      <c r="M23" s="102">
        <f t="shared" si="37"/>
        <v>0</v>
      </c>
      <c r="N23" s="51">
        <f t="shared" si="1"/>
      </c>
      <c r="O23" s="150"/>
      <c r="P23" s="151">
        <f t="shared" si="38"/>
      </c>
      <c r="Q23" s="152"/>
      <c r="R23" s="153">
        <f t="shared" si="39"/>
      </c>
      <c r="S23" s="153">
        <f t="shared" si="40"/>
        <v>0</v>
      </c>
      <c r="T23" s="154">
        <f ca="1">IF(OR(O23&lt;&gt;"",Q23&lt;&gt;""),RANK(S23,S$11:INDIRECT(S$7,FALSE)),"")</f>
      </c>
      <c r="U23" s="155"/>
      <c r="V23" s="156"/>
      <c r="W23" s="156"/>
      <c r="X23" s="157"/>
      <c r="Y23" s="158"/>
      <c r="Z23" s="227">
        <v>54.7</v>
      </c>
      <c r="AA23" s="103">
        <f t="shared" si="41"/>
        <v>54.7</v>
      </c>
      <c r="AB23" s="20"/>
      <c r="AC23" s="104">
        <f t="shared" si="42"/>
        <v>1000</v>
      </c>
      <c r="AD23" s="104">
        <f t="shared" si="43"/>
        <v>1000</v>
      </c>
      <c r="AE23" s="105">
        <f ca="1">IF(OR(Z23&lt;&gt;"",AB23&lt;&gt;""),RANK(AD23,AD$11:INDIRECT(AD$7,FALSE)),"")</f>
        <v>1</v>
      </c>
      <c r="AF23" s="106"/>
      <c r="AG23" s="107">
        <f t="shared" si="44"/>
        <v>1000</v>
      </c>
      <c r="AH23" s="107">
        <f t="shared" si="45"/>
        <v>1000</v>
      </c>
      <c r="AI23" s="108">
        <f ca="1">IF(OR(Z23&lt;&gt;"",AB23&lt;&gt;""),RANK(AH23,AH$11:INDIRECT(AH$7,FALSE)),"")</f>
        <v>1</v>
      </c>
      <c r="AJ23" s="109"/>
      <c r="AK23" s="4">
        <v>62.44</v>
      </c>
      <c r="AL23" s="103">
        <f t="shared" si="2"/>
        <v>62.44</v>
      </c>
      <c r="AM23" s="20"/>
      <c r="AN23" s="104">
        <f t="shared" si="46"/>
        <v>834.9</v>
      </c>
      <c r="AO23" s="104">
        <f t="shared" si="47"/>
        <v>834.9</v>
      </c>
      <c r="AP23" s="105">
        <f ca="1">IF(OR(AK23&lt;&gt;"",AM23&lt;&gt;""),RANK(AO23,AO$11:INDIRECT(AO$7,FALSE)),"")</f>
        <v>15</v>
      </c>
      <c r="AQ23" s="106"/>
      <c r="AR23" s="107">
        <f t="shared" si="3"/>
        <v>1834.9</v>
      </c>
      <c r="AS23" s="110">
        <f>IF(AND($F$8&lt;3,AR23&lt;&gt;""),HLOOKUP(MATCH(EQ23,EZ23:FA23,0),Discards,1,FALSE),"")</f>
      </c>
      <c r="AT23" s="107">
        <f t="shared" si="4"/>
        <v>1834.9</v>
      </c>
      <c r="AU23" s="108">
        <f ca="1">IF(OR(AK23&lt;&gt;"",AM23&lt;&gt;""),RANK(AT23,AT$11:INDIRECT(AT$7,FALSE)),"")</f>
        <v>4</v>
      </c>
      <c r="AV23" s="109"/>
      <c r="AW23" s="4">
        <v>55.15</v>
      </c>
      <c r="AX23" s="103">
        <f t="shared" si="5"/>
        <v>55.15</v>
      </c>
      <c r="AY23" s="20"/>
      <c r="AZ23" s="104">
        <f t="shared" si="48"/>
        <v>855.1</v>
      </c>
      <c r="BA23" s="104">
        <f t="shared" si="49"/>
        <v>855.1</v>
      </c>
      <c r="BB23" s="105">
        <f ca="1">IF(OR(AW23&lt;&gt;"",AY23&lt;&gt;""),RANK(BA23,BA$11:INDIRECT(BA$7,FALSE)),"")</f>
        <v>9</v>
      </c>
      <c r="BC23" s="106"/>
      <c r="BD23" s="107">
        <f t="shared" si="6"/>
        <v>2690</v>
      </c>
      <c r="BE23" s="110">
        <f>IF(AND($F$8&lt;4,BD23&lt;&gt;""),HLOOKUP(MATCH(ER23,EZ23:FB23,0),Discards,1,FALSE),"")</f>
      </c>
      <c r="BF23" s="107">
        <f t="shared" si="50"/>
        <v>2690</v>
      </c>
      <c r="BG23" s="108">
        <f ca="1">IF(OR(AW23&lt;&gt;"",AY23&lt;&gt;""),RANK(BF23,BF$11:INDIRECT(BF$7,FALSE)),"")</f>
        <v>5</v>
      </c>
      <c r="BH23" s="109"/>
      <c r="BI23" s="4">
        <v>53.74</v>
      </c>
      <c r="BJ23" s="103">
        <f t="shared" si="7"/>
        <v>53.74</v>
      </c>
      <c r="BK23" s="20"/>
      <c r="BL23" s="104">
        <f t="shared" si="51"/>
        <v>913.5</v>
      </c>
      <c r="BM23" s="104">
        <f t="shared" si="52"/>
        <v>913.5</v>
      </c>
      <c r="BN23" s="105">
        <f ca="1">IF(OR(BI23&lt;&gt;"",BK23&lt;&gt;""),RANK(BM23,BM$11:INDIRECT(BM$7,FALSE)),"")</f>
        <v>9</v>
      </c>
      <c r="BO23" s="106"/>
      <c r="BP23" s="107">
        <f t="shared" si="8"/>
        <v>3603.5</v>
      </c>
      <c r="BQ23" s="110">
        <f>IF(AND($F$8&lt;5,BP23&lt;&gt;""),HLOOKUP(MATCH(ES23,EZ23:FC23,0),Discards,1,FALSE),"")</f>
      </c>
      <c r="BR23" s="107">
        <f t="shared" si="53"/>
        <v>3603.5</v>
      </c>
      <c r="BS23" s="108">
        <f ca="1">IF(OR(BI23&lt;&gt;"",BK23&lt;&gt;""),RANK(BR23,BR$11:INDIRECT(BR$7,FALSE)),"")</f>
        <v>5</v>
      </c>
      <c r="BT23" s="109"/>
      <c r="BU23" s="4">
        <v>55.61</v>
      </c>
      <c r="BV23" s="103">
        <f t="shared" si="9"/>
        <v>55.61</v>
      </c>
      <c r="BW23" s="20"/>
      <c r="BX23" s="104">
        <f t="shared" si="54"/>
        <v>822.3</v>
      </c>
      <c r="BY23" s="104">
        <f t="shared" si="55"/>
        <v>822.3</v>
      </c>
      <c r="BZ23" s="105">
        <f ca="1">IF(OR(BU23&lt;&gt;"",BW23&lt;&gt;""),RANK(BY23,BY$11:INDIRECT(BY$7,FALSE)),"")</f>
        <v>11</v>
      </c>
      <c r="CA23" s="106"/>
      <c r="CB23" s="107">
        <f t="shared" si="10"/>
        <v>3603.5</v>
      </c>
      <c r="CC23" s="110">
        <f>IF(AND($F$8&lt;6,CB23&lt;&gt;""),HLOOKUP(MATCH(ET23,EZ23:FD23,0),Discards,1,FALSE),"")</f>
        <v>5</v>
      </c>
      <c r="CD23" s="107">
        <f t="shared" si="56"/>
        <v>3603.5</v>
      </c>
      <c r="CE23" s="108">
        <f ca="1">IF(OR(BU23&lt;&gt;"",BW23&lt;&gt;""),RANK(CD23,CD$11:INDIRECT(CD$7,FALSE)),"")</f>
        <v>6</v>
      </c>
      <c r="CF23" s="109"/>
      <c r="CG23" s="4">
        <v>53.47</v>
      </c>
      <c r="CH23" s="103">
        <f t="shared" si="11"/>
        <v>53.47</v>
      </c>
      <c r="CI23" s="20"/>
      <c r="CJ23" s="104">
        <f t="shared" si="57"/>
        <v>922.9</v>
      </c>
      <c r="CK23" s="104">
        <f t="shared" si="58"/>
        <v>922.9</v>
      </c>
      <c r="CL23" s="105">
        <f ca="1">IF(OR(CG23&lt;&gt;"",CI23&lt;&gt;""),RANK(CK23,CK$11:INDIRECT(CK$7,FALSE)),"")</f>
        <v>6</v>
      </c>
      <c r="CM23" s="106"/>
      <c r="CN23" s="107">
        <f t="shared" si="12"/>
        <v>4526.4</v>
      </c>
      <c r="CO23" s="110">
        <f>IF(AND($F$8&lt;7,CN23&lt;&gt;""),HLOOKUP(MATCH(EU23,EZ23:FE23,0),Discards,1,FALSE),"")</f>
        <v>5</v>
      </c>
      <c r="CP23" s="107">
        <f t="shared" si="59"/>
        <v>4526.4</v>
      </c>
      <c r="CQ23" s="108">
        <f ca="1">IF(OR(CG23&lt;&gt;"",CI23&lt;&gt;""),RANK(CP23,CP$11:INDIRECT(CP$7,FALSE)),"")</f>
        <v>6</v>
      </c>
      <c r="CR23" s="109"/>
      <c r="CS23" s="4">
        <v>43.78</v>
      </c>
      <c r="CT23" s="103">
        <f t="shared" si="13"/>
        <v>43.78</v>
      </c>
      <c r="CU23" s="20"/>
      <c r="CV23" s="104">
        <f t="shared" si="60"/>
        <v>913.2</v>
      </c>
      <c r="CW23" s="104">
        <f t="shared" si="61"/>
        <v>913.2</v>
      </c>
      <c r="CX23" s="105">
        <f ca="1">IF(OR(CS23&lt;&gt;"",CU23&lt;&gt;""),RANK(CW23,CW$11:INDIRECT(CW$7,FALSE)),"")</f>
        <v>3</v>
      </c>
      <c r="CY23" s="106"/>
      <c r="CZ23" s="107">
        <f t="shared" si="14"/>
        <v>5439.599999999999</v>
      </c>
      <c r="DA23" s="110">
        <f>IF(AND($F$8&lt;8,CZ23&lt;&gt;""),HLOOKUP(MATCH(EV23,EZ23:FF23,0),Discards,1,FALSE),"")</f>
        <v>5</v>
      </c>
      <c r="DB23" s="107">
        <f t="shared" si="62"/>
        <v>5439.599999999999</v>
      </c>
      <c r="DC23" s="108">
        <f ca="1">IF(OR(CS23&lt;&gt;"",CU23&lt;&gt;""),RANK(DB23,DB$11:INDIRECT(DB$7,FALSE)),"")</f>
        <v>2</v>
      </c>
      <c r="DD23" s="109"/>
      <c r="DE23" s="4">
        <v>48.84</v>
      </c>
      <c r="DF23" s="103">
        <f t="shared" si="15"/>
        <v>48.84</v>
      </c>
      <c r="DG23" s="20"/>
      <c r="DH23" s="104">
        <f t="shared" si="63"/>
        <v>883.5</v>
      </c>
      <c r="DI23" s="104">
        <f t="shared" si="64"/>
        <v>883.5</v>
      </c>
      <c r="DJ23" s="105">
        <f ca="1">IF(OR(DE23&lt;&gt;"",DG23&lt;&gt;""),RANK(DI23,DI$11:INDIRECT(DI$7,FALSE)),"")</f>
        <v>4</v>
      </c>
      <c r="DK23" s="106"/>
      <c r="DL23" s="107">
        <f t="shared" si="16"/>
        <v>6323.099999999999</v>
      </c>
      <c r="DM23" s="110">
        <f>IF(AND($F$8&lt;9,DL23&lt;&gt;""),HLOOKUP(MATCH(EW23,EZ23:FG23,0),Discards,1,FALSE),"")</f>
        <v>5</v>
      </c>
      <c r="DN23" s="107">
        <f t="shared" si="65"/>
        <v>6323.099999999999</v>
      </c>
      <c r="DO23" s="108">
        <f ca="1">IF(OR(DE23&lt;&gt;"",DG23&lt;&gt;""),RANK(DN23,DN$11:INDIRECT(DN$7,FALSE)),"")</f>
        <v>3</v>
      </c>
      <c r="DP23" s="109"/>
      <c r="DQ23" s="4">
        <v>48.2</v>
      </c>
      <c r="DR23" s="103">
        <f t="shared" si="17"/>
        <v>48.2</v>
      </c>
      <c r="DS23" s="20"/>
      <c r="DT23" s="104">
        <f t="shared" si="66"/>
        <v>903.7</v>
      </c>
      <c r="DU23" s="104">
        <f t="shared" si="67"/>
        <v>903.7</v>
      </c>
      <c r="DV23" s="105">
        <f ca="1">IF(OR(DQ23&lt;&gt;"",DS23&lt;&gt;""),RANK(DU23,DU$11:INDIRECT(DU$7,FALSE)),"")</f>
        <v>7</v>
      </c>
      <c r="DW23" s="106"/>
      <c r="DX23" s="107">
        <f t="shared" si="18"/>
        <v>7226.799999999999</v>
      </c>
      <c r="DY23" s="110">
        <f>IF(AND($F$8&lt;10,DX23&lt;&gt;""),HLOOKUP(MATCH(EX23,EZ23:FH23,0),Discards,1,FALSE),"")</f>
        <v>5</v>
      </c>
      <c r="DZ23" s="107">
        <f t="shared" si="68"/>
        <v>7226.799999999999</v>
      </c>
      <c r="EA23" s="108">
        <f ca="1">IF(OR(DQ23&lt;&gt;"",DS23&lt;&gt;""),RANK(DZ23,DZ$11:INDIRECT(DZ$7,FALSE)),"")</f>
        <v>3</v>
      </c>
      <c r="EB23" s="109"/>
      <c r="EC23" s="4"/>
      <c r="ED23" s="103">
        <f t="shared" si="19"/>
      </c>
      <c r="EE23" s="20"/>
      <c r="EF23" s="104">
        <f t="shared" si="69"/>
      </c>
      <c r="EG23" s="104">
        <f t="shared" si="70"/>
        <v>0</v>
      </c>
      <c r="EH23" s="105">
        <f ca="1">IF(OR(EC23&lt;&gt;"",EE23&lt;&gt;""),RANK(EG23,EG$11:INDIRECT(EG$7,FALSE)),"")</f>
      </c>
      <c r="EI23" s="106"/>
      <c r="EJ23" s="107">
        <f t="shared" si="20"/>
      </c>
      <c r="EK23" s="110">
        <f>IF(AND($F$8&lt;11,EJ23&lt;&gt;""),HLOOKUP(MATCH(EY23,EZ23:FI23,0),Discards,1,FALSE),"")</f>
      </c>
      <c r="EL23" s="107">
        <f t="shared" si="71"/>
        <v>0</v>
      </c>
      <c r="EM23" s="108">
        <f ca="1">IF(OR(EC23&lt;&gt;"",EE23&lt;&gt;""),RANK(EL23,EL$11:INDIRECT(EL$7,FALSE)),"")</f>
      </c>
      <c r="EN23" s="111"/>
      <c r="EP23" s="112">
        <f t="shared" si="72"/>
        <v>1</v>
      </c>
      <c r="EQ23" s="28">
        <f>MIN($EZ23:FA23)</f>
        <v>834.9</v>
      </c>
      <c r="ER23" s="28">
        <f>MIN($EZ23:FB23)</f>
        <v>834.9</v>
      </c>
      <c r="ES23" s="28">
        <f>MIN($EZ23:FC23)</f>
        <v>834.9</v>
      </c>
      <c r="ET23" s="28">
        <f>MIN($EZ23:FD23)</f>
        <v>822.3</v>
      </c>
      <c r="EU23" s="28">
        <f>MIN($EZ23:FE23)</f>
        <v>822.3</v>
      </c>
      <c r="EV23" s="28">
        <f>MIN($EZ23:FF23)</f>
        <v>822.3</v>
      </c>
      <c r="EW23" s="28">
        <f>MIN($EZ23:FG23)</f>
        <v>822.3</v>
      </c>
      <c r="EX23" s="28">
        <f>MIN($EZ23:FH23)</f>
        <v>822.3</v>
      </c>
      <c r="EY23" s="28">
        <f>MIN($EZ23:FI23)</f>
        <v>822.3</v>
      </c>
      <c r="EZ23" s="28">
        <f t="shared" si="21"/>
        <v>1000</v>
      </c>
      <c r="FA23" s="28">
        <f t="shared" si="22"/>
        <v>834.9</v>
      </c>
      <c r="FB23" s="28">
        <f t="shared" si="23"/>
        <v>855.1</v>
      </c>
      <c r="FC23" s="28">
        <f t="shared" si="24"/>
        <v>913.5</v>
      </c>
      <c r="FD23" s="28">
        <f t="shared" si="25"/>
        <v>822.3</v>
      </c>
      <c r="FE23" s="28">
        <f t="shared" si="26"/>
        <v>922.9</v>
      </c>
      <c r="FF23" s="28">
        <f t="shared" si="27"/>
        <v>913.2</v>
      </c>
      <c r="FG23" s="28">
        <f t="shared" si="28"/>
        <v>883.5</v>
      </c>
      <c r="FH23" s="28">
        <f t="shared" si="29"/>
        <v>903.7</v>
      </c>
      <c r="FI23" s="28">
        <f t="shared" si="30"/>
      </c>
      <c r="FL23" s="26">
        <f t="shared" si="73"/>
        <v>255000000</v>
      </c>
      <c r="FM23" s="26">
        <f t="shared" si="93"/>
        <v>255000</v>
      </c>
      <c r="FN23" s="26">
        <f t="shared" si="94"/>
        <v>255</v>
      </c>
      <c r="FO23" s="26">
        <f>IF(C23&lt;&gt;"",SUM(FL23:FN23),0)</f>
        <v>255255255</v>
      </c>
      <c r="FP23" s="26">
        <f ca="1">IF(FO23&gt;0,SMALL($FO$11:INDIRECT($FO$7,FALSE),A23),0)</f>
        <v>255255255</v>
      </c>
      <c r="FQ23" s="26">
        <f t="shared" si="74"/>
        <v>255</v>
      </c>
      <c r="FR23" s="26">
        <f t="shared" si="75"/>
        <v>255</v>
      </c>
      <c r="FS23" s="26">
        <f t="shared" si="76"/>
        <v>255</v>
      </c>
      <c r="FT23" s="26">
        <f t="shared" si="77"/>
      </c>
      <c r="FU23" s="26">
        <f t="shared" si="78"/>
        <v>24</v>
      </c>
      <c r="FV23" s="28">
        <f t="shared" si="31"/>
      </c>
      <c r="FW23" s="26">
        <f t="shared" si="92"/>
      </c>
      <c r="FX23" s="28">
        <f t="shared" si="79"/>
      </c>
      <c r="FY23" s="26">
        <f ca="1">IF(FX23&lt;&gt;"",RANK(FX23,FX$11:INDIRECT(FX$7,FALSE)),"")</f>
      </c>
      <c r="FZ23" s="26">
        <f t="shared" si="80"/>
      </c>
      <c r="GA23" s="26">
        <f t="shared" si="81"/>
      </c>
      <c r="GC23" s="27">
        <f t="shared" si="32"/>
      </c>
      <c r="GD23" s="27">
        <f t="shared" si="33"/>
      </c>
      <c r="GE23" s="27">
        <f t="shared" si="82"/>
      </c>
      <c r="GF23" s="27">
        <f t="shared" si="83"/>
      </c>
      <c r="GG23" s="27">
        <f t="shared" si="84"/>
        <v>0</v>
      </c>
      <c r="GH23" s="26">
        <f t="shared" si="85"/>
        <v>0</v>
      </c>
      <c r="GI23" s="26">
        <f t="shared" si="86"/>
        <v>0</v>
      </c>
      <c r="GJ23" s="26">
        <f t="shared" si="87"/>
        <v>0</v>
      </c>
      <c r="GK23" s="26">
        <f t="shared" si="88"/>
      </c>
      <c r="GL23" s="28">
        <f t="shared" si="89"/>
      </c>
      <c r="GM23" s="26">
        <f t="shared" si="90"/>
      </c>
    </row>
    <row r="24" spans="1:195" ht="12.75">
      <c r="A24" s="16">
        <f t="shared" si="91"/>
        <v>14</v>
      </c>
      <c r="B24" s="17"/>
      <c r="C24" s="18" t="s">
        <v>126</v>
      </c>
      <c r="D24" s="19" t="s">
        <v>127</v>
      </c>
      <c r="E24" s="18" t="s">
        <v>128</v>
      </c>
      <c r="F24" s="18"/>
      <c r="G24" s="148"/>
      <c r="H24" s="122">
        <f t="shared" si="34"/>
      </c>
      <c r="I24" s="30">
        <f t="shared" si="35"/>
        <v>7002.000000000001</v>
      </c>
      <c r="J24" s="30">
        <f>AD24+AO24+BA24+BM24+BY24+CK24+CW24+DI24+DU24+EG24-(MIN(EZ24:FI24)*$EY$2)</f>
        <v>7002.000000000001</v>
      </c>
      <c r="K24" s="139">
        <f ca="1">IF(I24&lt;&gt;"",RANK(I24,J$11:INDIRECT(J$7,FALSE)),"")</f>
        <v>9</v>
      </c>
      <c r="L24" s="102">
        <f t="shared" si="36"/>
      </c>
      <c r="M24" s="102">
        <f t="shared" si="37"/>
        <v>0</v>
      </c>
      <c r="N24" s="51">
        <f t="shared" si="1"/>
      </c>
      <c r="O24" s="150"/>
      <c r="P24" s="151">
        <f t="shared" si="38"/>
      </c>
      <c r="Q24" s="152"/>
      <c r="R24" s="153">
        <f t="shared" si="39"/>
      </c>
      <c r="S24" s="153">
        <f t="shared" si="40"/>
        <v>0</v>
      </c>
      <c r="T24" s="154">
        <f ca="1">IF(OR(O24&lt;&gt;"",Q24&lt;&gt;""),RANK(S24,S$11:INDIRECT(S$7,FALSE)),"")</f>
      </c>
      <c r="U24" s="155"/>
      <c r="V24" s="156"/>
      <c r="W24" s="156"/>
      <c r="X24" s="157"/>
      <c r="Y24" s="158"/>
      <c r="Z24" s="227">
        <v>58.62</v>
      </c>
      <c r="AA24" s="103">
        <f t="shared" si="41"/>
        <v>58.62</v>
      </c>
      <c r="AB24" s="20"/>
      <c r="AC24" s="104">
        <f t="shared" si="42"/>
        <v>933.1</v>
      </c>
      <c r="AD24" s="104">
        <f t="shared" si="43"/>
        <v>933.1</v>
      </c>
      <c r="AE24" s="105">
        <f ca="1">IF(OR(Z24&lt;&gt;"",AB24&lt;&gt;""),RANK(AD24,AD$11:INDIRECT(AD$7,FALSE)),"")</f>
        <v>6</v>
      </c>
      <c r="AF24" s="106"/>
      <c r="AG24" s="107">
        <f t="shared" si="44"/>
        <v>933.1</v>
      </c>
      <c r="AH24" s="107">
        <f t="shared" si="45"/>
        <v>933.1</v>
      </c>
      <c r="AI24" s="108">
        <f ca="1">IF(OR(Z24&lt;&gt;"",AB24&lt;&gt;""),RANK(AH24,AH$11:INDIRECT(AH$7,FALSE)),"")</f>
        <v>6</v>
      </c>
      <c r="AJ24" s="109"/>
      <c r="AK24" s="4">
        <v>61.58</v>
      </c>
      <c r="AL24" s="103">
        <f t="shared" si="2"/>
        <v>61.58</v>
      </c>
      <c r="AM24" s="20"/>
      <c r="AN24" s="104">
        <f t="shared" si="46"/>
        <v>846.5</v>
      </c>
      <c r="AO24" s="104">
        <f t="shared" si="47"/>
        <v>846.5</v>
      </c>
      <c r="AP24" s="105">
        <f ca="1">IF(OR(AK24&lt;&gt;"",AM24&lt;&gt;""),RANK(AO24,AO$11:INDIRECT(AO$7,FALSE)),"")</f>
        <v>10</v>
      </c>
      <c r="AQ24" s="106"/>
      <c r="AR24" s="107">
        <f t="shared" si="3"/>
        <v>1779.6</v>
      </c>
      <c r="AS24" s="110">
        <f>IF(AND($F$8&lt;3,AR24&lt;&gt;""),HLOOKUP(MATCH(EQ24,EZ24:FA24,0),Discards,1,FALSE),"")</f>
      </c>
      <c r="AT24" s="107">
        <f t="shared" si="4"/>
        <v>1779.6</v>
      </c>
      <c r="AU24" s="108">
        <f ca="1">IF(OR(AK24&lt;&gt;"",AM24&lt;&gt;""),RANK(AT24,AT$11:INDIRECT(AT$7,FALSE)),"")</f>
        <v>7</v>
      </c>
      <c r="AV24" s="109"/>
      <c r="AW24" s="4">
        <v>66.15</v>
      </c>
      <c r="AX24" s="103">
        <f t="shared" si="5"/>
        <v>66.15</v>
      </c>
      <c r="AY24" s="20"/>
      <c r="AZ24" s="104">
        <f t="shared" si="48"/>
        <v>712.9</v>
      </c>
      <c r="BA24" s="104">
        <f t="shared" si="49"/>
        <v>712.9</v>
      </c>
      <c r="BB24" s="105">
        <f ca="1">IF(OR(AW24&lt;&gt;"",AY24&lt;&gt;""),RANK(BA24,BA$11:INDIRECT(BA$7,FALSE)),"")</f>
        <v>25</v>
      </c>
      <c r="BC24" s="106"/>
      <c r="BD24" s="107">
        <f t="shared" si="6"/>
        <v>2492.5</v>
      </c>
      <c r="BE24" s="110">
        <f>IF(AND($F$8&lt;4,BD24&lt;&gt;""),HLOOKUP(MATCH(ER24,EZ24:FB24,0),Discards,1,FALSE),"")</f>
      </c>
      <c r="BF24" s="107">
        <f t="shared" si="50"/>
        <v>2492.5</v>
      </c>
      <c r="BG24" s="108">
        <f ca="1">IF(OR(AW24&lt;&gt;"",AY24&lt;&gt;""),RANK(BF24,BF$11:INDIRECT(BF$7,FALSE)),"")</f>
        <v>15</v>
      </c>
      <c r="BH24" s="109"/>
      <c r="BI24" s="4">
        <v>54.82</v>
      </c>
      <c r="BJ24" s="103">
        <f t="shared" si="7"/>
        <v>54.82</v>
      </c>
      <c r="BK24" s="20"/>
      <c r="BL24" s="104">
        <f t="shared" si="51"/>
        <v>895.5</v>
      </c>
      <c r="BM24" s="104">
        <f t="shared" si="52"/>
        <v>895.5</v>
      </c>
      <c r="BN24" s="105">
        <f ca="1">IF(OR(BI24&lt;&gt;"",BK24&lt;&gt;""),RANK(BM24,BM$11:INDIRECT(BM$7,FALSE)),"")</f>
        <v>12</v>
      </c>
      <c r="BO24" s="106"/>
      <c r="BP24" s="107">
        <f t="shared" si="8"/>
        <v>3388</v>
      </c>
      <c r="BQ24" s="110">
        <f>IF(AND($F$8&lt;5,BP24&lt;&gt;""),HLOOKUP(MATCH(ES24,EZ24:FC24,0),Discards,1,FALSE),"")</f>
      </c>
      <c r="BR24" s="107">
        <f t="shared" si="53"/>
        <v>3388</v>
      </c>
      <c r="BS24" s="108">
        <f ca="1">IF(OR(BI24&lt;&gt;"",BK24&lt;&gt;""),RANK(BR24,BR$11:INDIRECT(BR$7,FALSE)),"")</f>
        <v>13</v>
      </c>
      <c r="BT24" s="109"/>
      <c r="BU24" s="4">
        <v>59.54</v>
      </c>
      <c r="BV24" s="103">
        <f t="shared" si="9"/>
        <v>59.54</v>
      </c>
      <c r="BW24" s="20"/>
      <c r="BX24" s="104">
        <f t="shared" si="54"/>
        <v>768.1</v>
      </c>
      <c r="BY24" s="104">
        <f t="shared" si="55"/>
        <v>768.1</v>
      </c>
      <c r="BZ24" s="105">
        <f ca="1">IF(OR(BU24&lt;&gt;"",BW24&lt;&gt;""),RANK(BY24,BY$11:INDIRECT(BY$7,FALSE)),"")</f>
        <v>20</v>
      </c>
      <c r="CA24" s="106"/>
      <c r="CB24" s="107">
        <f t="shared" si="10"/>
        <v>3443.2000000000003</v>
      </c>
      <c r="CC24" s="110">
        <f>IF(AND($F$8&lt;6,CB24&lt;&gt;""),HLOOKUP(MATCH(ET24,EZ24:FD24,0),Discards,1,FALSE),"")</f>
        <v>3</v>
      </c>
      <c r="CD24" s="107">
        <f t="shared" si="56"/>
        <v>3443.2000000000003</v>
      </c>
      <c r="CE24" s="108">
        <f ca="1">IF(OR(BU24&lt;&gt;"",BW24&lt;&gt;""),RANK(CD24,CD$11:INDIRECT(CD$7,FALSE)),"")</f>
        <v>14</v>
      </c>
      <c r="CF24" s="109"/>
      <c r="CG24" s="4">
        <v>52.84</v>
      </c>
      <c r="CH24" s="103">
        <f t="shared" si="11"/>
        <v>52.84</v>
      </c>
      <c r="CI24" s="20"/>
      <c r="CJ24" s="104">
        <f t="shared" si="57"/>
        <v>934</v>
      </c>
      <c r="CK24" s="104">
        <f t="shared" si="58"/>
        <v>934</v>
      </c>
      <c r="CL24" s="105">
        <f ca="1">IF(OR(CG24&lt;&gt;"",CI24&lt;&gt;""),RANK(CK24,CK$11:INDIRECT(CK$7,FALSE)),"")</f>
        <v>4</v>
      </c>
      <c r="CM24" s="106"/>
      <c r="CN24" s="107">
        <f t="shared" si="12"/>
        <v>4377.200000000001</v>
      </c>
      <c r="CO24" s="110">
        <f>IF(AND($F$8&lt;7,CN24&lt;&gt;""),HLOOKUP(MATCH(EU24,EZ24:FE24,0),Discards,1,FALSE),"")</f>
        <v>3</v>
      </c>
      <c r="CP24" s="107">
        <f t="shared" si="59"/>
        <v>4377.200000000001</v>
      </c>
      <c r="CQ24" s="108">
        <f ca="1">IF(OR(CG24&lt;&gt;"",CI24&lt;&gt;""),RANK(CP24,CP$11:INDIRECT(CP$7,FALSE)),"")</f>
        <v>11</v>
      </c>
      <c r="CR24" s="109"/>
      <c r="CS24" s="4">
        <v>52.55</v>
      </c>
      <c r="CT24" s="103">
        <f t="shared" si="13"/>
        <v>52.55</v>
      </c>
      <c r="CU24" s="20"/>
      <c r="CV24" s="104">
        <f t="shared" si="60"/>
        <v>760.8</v>
      </c>
      <c r="CW24" s="104">
        <f t="shared" si="61"/>
        <v>760.8</v>
      </c>
      <c r="CX24" s="105">
        <f ca="1">IF(OR(CS24&lt;&gt;"",CU24&lt;&gt;""),RANK(CW24,CW$11:INDIRECT(CW$7,FALSE)),"")</f>
        <v>11</v>
      </c>
      <c r="CY24" s="106"/>
      <c r="CZ24" s="107">
        <f t="shared" si="14"/>
        <v>5138.000000000001</v>
      </c>
      <c r="DA24" s="110">
        <f>IF(AND($F$8&lt;8,CZ24&lt;&gt;""),HLOOKUP(MATCH(EV24,EZ24:FF24,0),Discards,1,FALSE),"")</f>
        <v>3</v>
      </c>
      <c r="DB24" s="107">
        <f t="shared" si="62"/>
        <v>5138.000000000001</v>
      </c>
      <c r="DC24" s="108">
        <f ca="1">IF(OR(CS24&lt;&gt;"",CU24&lt;&gt;""),RANK(DB24,DB$11:INDIRECT(DB$7,FALSE)),"")</f>
        <v>14</v>
      </c>
      <c r="DD24" s="109"/>
      <c r="DE24" s="4">
        <v>49.94</v>
      </c>
      <c r="DF24" s="103">
        <f t="shared" si="15"/>
        <v>49.94</v>
      </c>
      <c r="DG24" s="20"/>
      <c r="DH24" s="104">
        <f t="shared" si="63"/>
        <v>864</v>
      </c>
      <c r="DI24" s="104">
        <f t="shared" si="64"/>
        <v>864</v>
      </c>
      <c r="DJ24" s="105">
        <f ca="1">IF(OR(DE24&lt;&gt;"",DG24&lt;&gt;""),RANK(DI24,DI$11:INDIRECT(DI$7,FALSE)),"")</f>
        <v>7</v>
      </c>
      <c r="DK24" s="106"/>
      <c r="DL24" s="107">
        <f t="shared" si="16"/>
        <v>6002.000000000001</v>
      </c>
      <c r="DM24" s="110">
        <f>IF(AND($F$8&lt;9,DL24&lt;&gt;""),HLOOKUP(MATCH(EW24,EZ24:FG24,0),Discards,1,FALSE),"")</f>
        <v>3</v>
      </c>
      <c r="DN24" s="107">
        <f t="shared" si="65"/>
        <v>6002.000000000001</v>
      </c>
      <c r="DO24" s="108">
        <f ca="1">IF(OR(DE24&lt;&gt;"",DG24&lt;&gt;""),RANK(DN24,DN$11:INDIRECT(DN$7,FALSE)),"")</f>
        <v>12</v>
      </c>
      <c r="DP24" s="109"/>
      <c r="DQ24" s="4">
        <v>43.56</v>
      </c>
      <c r="DR24" s="103">
        <f t="shared" si="17"/>
        <v>43.56</v>
      </c>
      <c r="DS24" s="20"/>
      <c r="DT24" s="104">
        <f t="shared" si="66"/>
        <v>1000</v>
      </c>
      <c r="DU24" s="104">
        <f t="shared" si="67"/>
        <v>1000</v>
      </c>
      <c r="DV24" s="105">
        <f ca="1">IF(OR(DQ24&lt;&gt;"",DS24&lt;&gt;""),RANK(DU24,DU$11:INDIRECT(DU$7,FALSE)),"")</f>
        <v>1</v>
      </c>
      <c r="DW24" s="106"/>
      <c r="DX24" s="107">
        <f t="shared" si="18"/>
        <v>7002.000000000001</v>
      </c>
      <c r="DY24" s="110">
        <f>IF(AND($F$8&lt;10,DX24&lt;&gt;""),HLOOKUP(MATCH(EX24,EZ24:FH24,0),Discards,1,FALSE),"")</f>
        <v>3</v>
      </c>
      <c r="DZ24" s="107">
        <f t="shared" si="68"/>
        <v>7002.000000000001</v>
      </c>
      <c r="EA24" s="108">
        <f ca="1">IF(OR(DQ24&lt;&gt;"",DS24&lt;&gt;""),RANK(DZ24,DZ$11:INDIRECT(DZ$7,FALSE)),"")</f>
        <v>9</v>
      </c>
      <c r="EB24" s="109"/>
      <c r="EC24" s="4"/>
      <c r="ED24" s="103">
        <f t="shared" si="19"/>
      </c>
      <c r="EE24" s="20"/>
      <c r="EF24" s="104">
        <f t="shared" si="69"/>
      </c>
      <c r="EG24" s="104">
        <f t="shared" si="70"/>
        <v>0</v>
      </c>
      <c r="EH24" s="105">
        <f ca="1">IF(OR(EC24&lt;&gt;"",EE24&lt;&gt;""),RANK(EG24,EG$11:INDIRECT(EG$7,FALSE)),"")</f>
      </c>
      <c r="EI24" s="106"/>
      <c r="EJ24" s="107">
        <f t="shared" si="20"/>
      </c>
      <c r="EK24" s="110">
        <f>IF(AND($F$8&lt;11,EJ24&lt;&gt;""),HLOOKUP(MATCH(EY24,EZ24:FI24,0),Discards,1,FALSE),"")</f>
      </c>
      <c r="EL24" s="107">
        <f t="shared" si="71"/>
        <v>0</v>
      </c>
      <c r="EM24" s="108">
        <f ca="1">IF(OR(EC24&lt;&gt;"",EE24&lt;&gt;""),RANK(EL24,EL$11:INDIRECT(EL$7,FALSE)),"")</f>
      </c>
      <c r="EN24" s="111"/>
      <c r="EP24" s="112">
        <f t="shared" si="72"/>
        <v>1</v>
      </c>
      <c r="EQ24" s="28">
        <f>MIN($EZ24:FA24)</f>
        <v>846.5</v>
      </c>
      <c r="ER24" s="28">
        <f>MIN($EZ24:FB24)</f>
        <v>712.9</v>
      </c>
      <c r="ES24" s="28">
        <f>MIN($EZ24:FC24)</f>
        <v>712.9</v>
      </c>
      <c r="ET24" s="28">
        <f>MIN($EZ24:FD24)</f>
        <v>712.9</v>
      </c>
      <c r="EU24" s="28">
        <f>MIN($EZ24:FE24)</f>
        <v>712.9</v>
      </c>
      <c r="EV24" s="28">
        <f>MIN($EZ24:FF24)</f>
        <v>712.9</v>
      </c>
      <c r="EW24" s="28">
        <f>MIN($EZ24:FG24)</f>
        <v>712.9</v>
      </c>
      <c r="EX24" s="28">
        <f>MIN($EZ24:FH24)</f>
        <v>712.9</v>
      </c>
      <c r="EY24" s="28">
        <f>MIN($EZ24:FI24)</f>
        <v>712.9</v>
      </c>
      <c r="EZ24" s="28">
        <f t="shared" si="21"/>
        <v>933.1</v>
      </c>
      <c r="FA24" s="28">
        <f t="shared" si="22"/>
        <v>846.5</v>
      </c>
      <c r="FB24" s="28">
        <f t="shared" si="23"/>
        <v>712.9</v>
      </c>
      <c r="FC24" s="28">
        <f t="shared" si="24"/>
        <v>895.5</v>
      </c>
      <c r="FD24" s="28">
        <f t="shared" si="25"/>
        <v>768.1</v>
      </c>
      <c r="FE24" s="28">
        <f t="shared" si="26"/>
        <v>934</v>
      </c>
      <c r="FF24" s="28">
        <f t="shared" si="27"/>
        <v>760.8</v>
      </c>
      <c r="FG24" s="28">
        <f t="shared" si="28"/>
        <v>864</v>
      </c>
      <c r="FH24" s="28">
        <f t="shared" si="29"/>
        <v>1000</v>
      </c>
      <c r="FI24" s="28">
        <f t="shared" si="30"/>
      </c>
      <c r="FL24" s="26">
        <f t="shared" si="73"/>
        <v>255000000</v>
      </c>
      <c r="FM24" s="26">
        <f t="shared" si="93"/>
        <v>255000</v>
      </c>
      <c r="FN24" s="26">
        <f t="shared" si="94"/>
        <v>255</v>
      </c>
      <c r="FO24" s="26">
        <f>IF(C24&lt;&gt;"",SUM(FL24:FN24),0)</f>
        <v>255255255</v>
      </c>
      <c r="FP24" s="26">
        <f ca="1">IF(FO24&gt;0,SMALL($FO$11:INDIRECT($FO$7,FALSE),A24),0)</f>
        <v>255255255</v>
      </c>
      <c r="FQ24" s="26">
        <f t="shared" si="74"/>
        <v>255</v>
      </c>
      <c r="FR24" s="26">
        <f t="shared" si="75"/>
        <v>255</v>
      </c>
      <c r="FS24" s="26">
        <f t="shared" si="76"/>
        <v>255</v>
      </c>
      <c r="FT24" s="26">
        <f t="shared" si="77"/>
      </c>
      <c r="FU24" s="26">
        <f t="shared" si="78"/>
        <v>24</v>
      </c>
      <c r="FV24" s="28">
        <f t="shared" si="31"/>
      </c>
      <c r="FW24" s="26">
        <f t="shared" si="92"/>
      </c>
      <c r="FX24" s="28">
        <f t="shared" si="79"/>
      </c>
      <c r="FY24" s="26">
        <f ca="1">IF(FX24&lt;&gt;"",RANK(FX24,FX$11:INDIRECT(FX$7,FALSE)),"")</f>
      </c>
      <c r="FZ24" s="26">
        <f t="shared" si="80"/>
      </c>
      <c r="GA24" s="26">
        <f t="shared" si="81"/>
      </c>
      <c r="GC24" s="27">
        <f t="shared" si="32"/>
      </c>
      <c r="GD24" s="27">
        <f t="shared" si="33"/>
      </c>
      <c r="GE24" s="27">
        <f t="shared" si="82"/>
      </c>
      <c r="GF24" s="27">
        <f t="shared" si="83"/>
      </c>
      <c r="GG24" s="27">
        <f t="shared" si="84"/>
        <v>0</v>
      </c>
      <c r="GH24" s="26">
        <f t="shared" si="85"/>
        <v>0</v>
      </c>
      <c r="GI24" s="26">
        <f t="shared" si="86"/>
        <v>0</v>
      </c>
      <c r="GJ24" s="26">
        <f t="shared" si="87"/>
        <v>0</v>
      </c>
      <c r="GK24" s="26">
        <f t="shared" si="88"/>
      </c>
      <c r="GL24" s="28">
        <f t="shared" si="89"/>
      </c>
      <c r="GM24" s="26">
        <f t="shared" si="90"/>
      </c>
    </row>
    <row r="25" spans="1:195" ht="12.75">
      <c r="A25" s="16">
        <f t="shared" si="91"/>
        <v>15</v>
      </c>
      <c r="B25" s="17"/>
      <c r="C25" s="18" t="s">
        <v>129</v>
      </c>
      <c r="D25" s="19" t="s">
        <v>130</v>
      </c>
      <c r="E25" s="18" t="s">
        <v>131</v>
      </c>
      <c r="F25" s="18"/>
      <c r="G25" s="148"/>
      <c r="H25" s="122">
        <f t="shared" si="34"/>
      </c>
      <c r="I25" s="30">
        <f t="shared" si="35"/>
        <v>7035.7</v>
      </c>
      <c r="J25" s="30">
        <f>AD25+AO25+BA25+BM25+BY25+CK25+CW25+DI25+DU25+EG25-(MIN(EZ25:FI25)*$EY$2)</f>
        <v>7035.7</v>
      </c>
      <c r="K25" s="139">
        <f ca="1">IF(I25&lt;&gt;"",RANK(I25,J$11:INDIRECT(J$7,FALSE)),"")</f>
        <v>7</v>
      </c>
      <c r="L25" s="102">
        <f t="shared" si="36"/>
      </c>
      <c r="M25" s="102">
        <f t="shared" si="37"/>
        <v>0</v>
      </c>
      <c r="N25" s="51">
        <f t="shared" si="1"/>
      </c>
      <c r="O25" s="150"/>
      <c r="P25" s="151">
        <f t="shared" si="38"/>
      </c>
      <c r="Q25" s="152"/>
      <c r="R25" s="153">
        <f t="shared" si="39"/>
      </c>
      <c r="S25" s="153">
        <f t="shared" si="40"/>
        <v>0</v>
      </c>
      <c r="T25" s="154">
        <f ca="1">IF(OR(O25&lt;&gt;"",Q25&lt;&gt;""),RANK(S25,S$11:INDIRECT(S$7,FALSE)),"")</f>
      </c>
      <c r="U25" s="155"/>
      <c r="V25" s="156"/>
      <c r="W25" s="156"/>
      <c r="X25" s="157"/>
      <c r="Y25" s="158"/>
      <c r="Z25" s="227">
        <v>60.58</v>
      </c>
      <c r="AA25" s="103">
        <f t="shared" si="41"/>
        <v>60.58</v>
      </c>
      <c r="AB25" s="20"/>
      <c r="AC25" s="104">
        <f t="shared" si="42"/>
        <v>902.9</v>
      </c>
      <c r="AD25" s="104">
        <f t="shared" si="43"/>
        <v>902.9</v>
      </c>
      <c r="AE25" s="105">
        <f ca="1">IF(OR(Z25&lt;&gt;"",AB25&lt;&gt;""),RANK(AD25,AD$11:INDIRECT(AD$7,FALSE)),"")</f>
        <v>9</v>
      </c>
      <c r="AF25" s="106"/>
      <c r="AG25" s="107">
        <f t="shared" si="44"/>
        <v>902.9</v>
      </c>
      <c r="AH25" s="107">
        <f t="shared" si="45"/>
        <v>902.9</v>
      </c>
      <c r="AI25" s="108">
        <f ca="1">IF(OR(Z25&lt;&gt;"",AB25&lt;&gt;""),RANK(AH25,AH$11:INDIRECT(AH$7,FALSE)),"")</f>
        <v>9</v>
      </c>
      <c r="AJ25" s="109"/>
      <c r="AK25" s="4">
        <v>67.51</v>
      </c>
      <c r="AL25" s="103">
        <f t="shared" si="2"/>
        <v>67.51</v>
      </c>
      <c r="AM25" s="20"/>
      <c r="AN25" s="104">
        <f t="shared" si="46"/>
        <v>772.2</v>
      </c>
      <c r="AO25" s="104">
        <f t="shared" si="47"/>
        <v>772.2</v>
      </c>
      <c r="AP25" s="105">
        <f ca="1">IF(OR(AK25&lt;&gt;"",AM25&lt;&gt;""),RANK(AO25,AO$11:INDIRECT(AO$7,FALSE)),"")</f>
        <v>22</v>
      </c>
      <c r="AQ25" s="106"/>
      <c r="AR25" s="107">
        <f t="shared" si="3"/>
        <v>1675.1</v>
      </c>
      <c r="AS25" s="110">
        <f>IF(AND($F$8&lt;3,AR25&lt;&gt;""),HLOOKUP(MATCH(EQ25,EZ25:FA25,0),Discards,1,FALSE),"")</f>
      </c>
      <c r="AT25" s="107">
        <f t="shared" si="4"/>
        <v>1675.1</v>
      </c>
      <c r="AU25" s="108">
        <f ca="1">IF(OR(AK25&lt;&gt;"",AM25&lt;&gt;""),RANK(AT25,AT$11:INDIRECT(AT$7,FALSE)),"")</f>
        <v>15</v>
      </c>
      <c r="AV25" s="109"/>
      <c r="AW25" s="4">
        <v>51.2</v>
      </c>
      <c r="AX25" s="103">
        <f t="shared" si="5"/>
        <v>51.2</v>
      </c>
      <c r="AY25" s="20"/>
      <c r="AZ25" s="104">
        <f t="shared" si="48"/>
        <v>921.1</v>
      </c>
      <c r="BA25" s="104">
        <f t="shared" si="49"/>
        <v>921.1</v>
      </c>
      <c r="BB25" s="105">
        <f ca="1">IF(OR(AW25&lt;&gt;"",AY25&lt;&gt;""),RANK(BA25,BA$11:INDIRECT(BA$7,FALSE)),"")</f>
        <v>2</v>
      </c>
      <c r="BC25" s="106"/>
      <c r="BD25" s="107">
        <f t="shared" si="6"/>
        <v>2596.2</v>
      </c>
      <c r="BE25" s="110">
        <f>IF(AND($F$8&lt;4,BD25&lt;&gt;""),HLOOKUP(MATCH(ER25,EZ25:FB25,0),Discards,1,FALSE),"")</f>
      </c>
      <c r="BF25" s="107">
        <f t="shared" si="50"/>
        <v>2596.2</v>
      </c>
      <c r="BG25" s="108">
        <f ca="1">IF(OR(AW25&lt;&gt;"",AY25&lt;&gt;""),RANK(BF25,BF$11:INDIRECT(BF$7,FALSE)),"")</f>
        <v>9</v>
      </c>
      <c r="BH25" s="109"/>
      <c r="BI25" s="4">
        <v>55.64</v>
      </c>
      <c r="BJ25" s="103">
        <f t="shared" si="7"/>
        <v>55.64</v>
      </c>
      <c r="BK25" s="20"/>
      <c r="BL25" s="104">
        <f t="shared" si="51"/>
        <v>882.3</v>
      </c>
      <c r="BM25" s="104">
        <f t="shared" si="52"/>
        <v>882.3</v>
      </c>
      <c r="BN25" s="105">
        <f ca="1">IF(OR(BI25&lt;&gt;"",BK25&lt;&gt;""),RANK(BM25,BM$11:INDIRECT(BM$7,FALSE)),"")</f>
        <v>15</v>
      </c>
      <c r="BO25" s="106"/>
      <c r="BP25" s="107">
        <f t="shared" si="8"/>
        <v>3478.5</v>
      </c>
      <c r="BQ25" s="110">
        <f>IF(AND($F$8&lt;5,BP25&lt;&gt;""),HLOOKUP(MATCH(ES25,EZ25:FC25,0),Discards,1,FALSE),"")</f>
      </c>
      <c r="BR25" s="107">
        <f t="shared" si="53"/>
        <v>3478.5</v>
      </c>
      <c r="BS25" s="108">
        <f ca="1">IF(OR(BI25&lt;&gt;"",BK25&lt;&gt;""),RANK(BR25,BR$11:INDIRECT(BR$7,FALSE)),"")</f>
        <v>9</v>
      </c>
      <c r="BT25" s="109"/>
      <c r="BU25" s="4">
        <v>49.26</v>
      </c>
      <c r="BV25" s="103">
        <f t="shared" si="9"/>
        <v>49.26</v>
      </c>
      <c r="BW25" s="20"/>
      <c r="BX25" s="104">
        <f t="shared" si="54"/>
        <v>928.3</v>
      </c>
      <c r="BY25" s="104">
        <f t="shared" si="55"/>
        <v>928.3</v>
      </c>
      <c r="BZ25" s="105">
        <f ca="1">IF(OR(BU25&lt;&gt;"",BW25&lt;&gt;""),RANK(BY25,BY$11:INDIRECT(BY$7,FALSE)),"")</f>
        <v>5</v>
      </c>
      <c r="CA25" s="106"/>
      <c r="CB25" s="107">
        <f t="shared" si="10"/>
        <v>3634.6000000000004</v>
      </c>
      <c r="CC25" s="110">
        <f>IF(AND($F$8&lt;6,CB25&lt;&gt;""),HLOOKUP(MATCH(ET25,EZ25:FD25,0),Discards,1,FALSE),"")</f>
        <v>2</v>
      </c>
      <c r="CD25" s="107">
        <f t="shared" si="56"/>
        <v>3634.6000000000004</v>
      </c>
      <c r="CE25" s="108">
        <f ca="1">IF(OR(BU25&lt;&gt;"",BW25&lt;&gt;""),RANK(CD25,CD$11:INDIRECT(CD$7,FALSE)),"")</f>
        <v>4</v>
      </c>
      <c r="CF25" s="109"/>
      <c r="CG25" s="4">
        <v>49.94</v>
      </c>
      <c r="CH25" s="103">
        <f t="shared" si="11"/>
        <v>49.94</v>
      </c>
      <c r="CI25" s="20"/>
      <c r="CJ25" s="104">
        <f t="shared" si="57"/>
        <v>988.2</v>
      </c>
      <c r="CK25" s="104">
        <f t="shared" si="58"/>
        <v>988.2</v>
      </c>
      <c r="CL25" s="105">
        <f ca="1">IF(OR(CG25&lt;&gt;"",CI25&lt;&gt;""),RANK(CK25,CK$11:INDIRECT(CK$7,FALSE)),"")</f>
        <v>2</v>
      </c>
      <c r="CM25" s="106"/>
      <c r="CN25" s="107">
        <f t="shared" si="12"/>
        <v>4622.8</v>
      </c>
      <c r="CO25" s="110">
        <f>IF(AND($F$8&lt;7,CN25&lt;&gt;""),HLOOKUP(MATCH(EU25,EZ25:FE25,0),Discards,1,FALSE),"")</f>
        <v>2</v>
      </c>
      <c r="CP25" s="107">
        <f t="shared" si="59"/>
        <v>4622.8</v>
      </c>
      <c r="CQ25" s="108">
        <f ca="1">IF(OR(CG25&lt;&gt;"",CI25&lt;&gt;""),RANK(CP25,CP$11:INDIRECT(CP$7,FALSE)),"")</f>
        <v>2</v>
      </c>
      <c r="CR25" s="109"/>
      <c r="CS25" s="4">
        <v>52.52</v>
      </c>
      <c r="CT25" s="103">
        <f t="shared" si="13"/>
        <v>52.52</v>
      </c>
      <c r="CU25" s="20"/>
      <c r="CV25" s="104">
        <f t="shared" si="60"/>
        <v>761.2</v>
      </c>
      <c r="CW25" s="104">
        <f t="shared" si="61"/>
        <v>761.2</v>
      </c>
      <c r="CX25" s="105">
        <f ca="1">IF(OR(CS25&lt;&gt;"",CU25&lt;&gt;""),RANK(CW25,CW$11:INDIRECT(CW$7,FALSE)),"")</f>
        <v>10</v>
      </c>
      <c r="CY25" s="106"/>
      <c r="CZ25" s="107">
        <f t="shared" si="14"/>
        <v>5395</v>
      </c>
      <c r="DA25" s="110">
        <f>IF(AND($F$8&lt;8,CZ25&lt;&gt;""),HLOOKUP(MATCH(EV25,EZ25:FF25,0),Discards,1,FALSE),"")</f>
        <v>7</v>
      </c>
      <c r="DB25" s="107">
        <f t="shared" si="62"/>
        <v>5395</v>
      </c>
      <c r="DC25" s="108">
        <f ca="1">IF(OR(CS25&lt;&gt;"",CU25&lt;&gt;""),RANK(DB25,DB$11:INDIRECT(DB$7,FALSE)),"")</f>
        <v>3</v>
      </c>
      <c r="DD25" s="109"/>
      <c r="DE25" s="4">
        <v>0</v>
      </c>
      <c r="DF25" s="103">
        <f t="shared" si="15"/>
      </c>
      <c r="DG25" s="20"/>
      <c r="DH25" s="104">
        <f t="shared" si="63"/>
        <v>0</v>
      </c>
      <c r="DI25" s="104">
        <f t="shared" si="64"/>
        <v>0</v>
      </c>
      <c r="DJ25" s="105">
        <f ca="1">IF(OR(DE25&lt;&gt;"",DG25&lt;&gt;""),RANK(DI25,DI$11:INDIRECT(DI$7,FALSE)),"")</f>
        <v>25</v>
      </c>
      <c r="DK25" s="106"/>
      <c r="DL25" s="107">
        <f t="shared" si="16"/>
        <v>6156.2</v>
      </c>
      <c r="DM25" s="110">
        <f>IF(AND($F$8&lt;9,DL25&lt;&gt;""),HLOOKUP(MATCH(EW25,EZ25:FG25,0),Discards,1,FALSE),"")</f>
        <v>8</v>
      </c>
      <c r="DN25" s="107">
        <f t="shared" si="65"/>
        <v>6156.2</v>
      </c>
      <c r="DO25" s="108">
        <f ca="1">IF(OR(DE25&lt;&gt;"",DG25&lt;&gt;""),RANK(DN25,DN$11:INDIRECT(DN$7,FALSE)),"")</f>
        <v>7</v>
      </c>
      <c r="DP25" s="109"/>
      <c r="DQ25" s="4">
        <v>49.53</v>
      </c>
      <c r="DR25" s="103">
        <f t="shared" si="17"/>
        <v>49.53</v>
      </c>
      <c r="DS25" s="20"/>
      <c r="DT25" s="104">
        <f t="shared" si="66"/>
        <v>879.5</v>
      </c>
      <c r="DU25" s="104">
        <f t="shared" si="67"/>
        <v>879.5</v>
      </c>
      <c r="DV25" s="105">
        <f ca="1">IF(OR(DQ25&lt;&gt;"",DS25&lt;&gt;""),RANK(DU25,DU$11:INDIRECT(DU$7,FALSE)),"")</f>
        <v>8</v>
      </c>
      <c r="DW25" s="106"/>
      <c r="DX25" s="107">
        <f t="shared" si="18"/>
        <v>7035.7</v>
      </c>
      <c r="DY25" s="110">
        <f>IF(AND($F$8&lt;10,DX25&lt;&gt;""),HLOOKUP(MATCH(EX25,EZ25:FH25,0),Discards,1,FALSE),"")</f>
        <v>8</v>
      </c>
      <c r="DZ25" s="107">
        <f t="shared" si="68"/>
        <v>7035.7</v>
      </c>
      <c r="EA25" s="108">
        <f ca="1">IF(OR(DQ25&lt;&gt;"",DS25&lt;&gt;""),RANK(DZ25,DZ$11:INDIRECT(DZ$7,FALSE)),"")</f>
        <v>7</v>
      </c>
      <c r="EB25" s="109"/>
      <c r="EC25" s="4"/>
      <c r="ED25" s="103">
        <f t="shared" si="19"/>
      </c>
      <c r="EE25" s="20"/>
      <c r="EF25" s="104">
        <f t="shared" si="69"/>
      </c>
      <c r="EG25" s="104">
        <f t="shared" si="70"/>
        <v>0</v>
      </c>
      <c r="EH25" s="105">
        <f ca="1">IF(OR(EC25&lt;&gt;"",EE25&lt;&gt;""),RANK(EG25,EG$11:INDIRECT(EG$7,FALSE)),"")</f>
      </c>
      <c r="EI25" s="106"/>
      <c r="EJ25" s="107">
        <f t="shared" si="20"/>
      </c>
      <c r="EK25" s="110">
        <f>IF(AND($F$8&lt;11,EJ25&lt;&gt;""),HLOOKUP(MATCH(EY25,EZ25:FI25,0),Discards,1,FALSE),"")</f>
      </c>
      <c r="EL25" s="107">
        <f t="shared" si="71"/>
        <v>0</v>
      </c>
      <c r="EM25" s="108">
        <f ca="1">IF(OR(EC25&lt;&gt;"",EE25&lt;&gt;""),RANK(EL25,EL$11:INDIRECT(EL$7,FALSE)),"")</f>
      </c>
      <c r="EN25" s="111"/>
      <c r="EP25" s="112">
        <f t="shared" si="72"/>
        <v>1</v>
      </c>
      <c r="EQ25" s="28">
        <f>MIN($EZ25:FA25)</f>
        <v>772.2</v>
      </c>
      <c r="ER25" s="28">
        <f>MIN($EZ25:FB25)</f>
        <v>772.2</v>
      </c>
      <c r="ES25" s="28">
        <f>MIN($EZ25:FC25)</f>
        <v>772.2</v>
      </c>
      <c r="ET25" s="28">
        <f>MIN($EZ25:FD25)</f>
        <v>772.2</v>
      </c>
      <c r="EU25" s="28">
        <f>MIN($EZ25:FE25)</f>
        <v>772.2</v>
      </c>
      <c r="EV25" s="28">
        <f>MIN($EZ25:FF25)</f>
        <v>761.2</v>
      </c>
      <c r="EW25" s="28">
        <f>MIN($EZ25:FG25)</f>
        <v>0</v>
      </c>
      <c r="EX25" s="28">
        <f>MIN($EZ25:FH25)</f>
        <v>0</v>
      </c>
      <c r="EY25" s="28">
        <f>MIN($EZ25:FI25)</f>
        <v>0</v>
      </c>
      <c r="EZ25" s="28">
        <f t="shared" si="21"/>
        <v>902.9</v>
      </c>
      <c r="FA25" s="28">
        <f t="shared" si="22"/>
        <v>772.2</v>
      </c>
      <c r="FB25" s="28">
        <f t="shared" si="23"/>
        <v>921.1</v>
      </c>
      <c r="FC25" s="28">
        <f t="shared" si="24"/>
        <v>882.3</v>
      </c>
      <c r="FD25" s="28">
        <f t="shared" si="25"/>
        <v>928.3</v>
      </c>
      <c r="FE25" s="28">
        <f t="shared" si="26"/>
        <v>988.2</v>
      </c>
      <c r="FF25" s="28">
        <f t="shared" si="27"/>
        <v>761.2</v>
      </c>
      <c r="FG25" s="28">
        <f t="shared" si="28"/>
        <v>0</v>
      </c>
      <c r="FH25" s="28">
        <f t="shared" si="29"/>
        <v>879.5</v>
      </c>
      <c r="FI25" s="28">
        <f t="shared" si="30"/>
      </c>
      <c r="FL25" s="26">
        <f t="shared" si="73"/>
        <v>255000000</v>
      </c>
      <c r="FM25" s="26">
        <f t="shared" si="93"/>
        <v>255000</v>
      </c>
      <c r="FN25" s="26">
        <f t="shared" si="94"/>
        <v>255</v>
      </c>
      <c r="FO25" s="26">
        <f>IF(C25&lt;&gt;"",SUM(FL25:FN25),0)</f>
        <v>255255255</v>
      </c>
      <c r="FP25" s="26">
        <f ca="1">IF(FO25&gt;0,SMALL($FO$11:INDIRECT($FO$7,FALSE),A25),0)</f>
        <v>255255255</v>
      </c>
      <c r="FQ25" s="26">
        <f t="shared" si="74"/>
        <v>255</v>
      </c>
      <c r="FR25" s="26">
        <f t="shared" si="75"/>
        <v>255</v>
      </c>
      <c r="FS25" s="26">
        <f t="shared" si="76"/>
        <v>255</v>
      </c>
      <c r="FT25" s="26">
        <f t="shared" si="77"/>
      </c>
      <c r="FU25" s="26">
        <f t="shared" si="78"/>
        <v>24</v>
      </c>
      <c r="FV25" s="28">
        <f t="shared" si="31"/>
      </c>
      <c r="FW25" s="26">
        <f t="shared" si="92"/>
      </c>
      <c r="FX25" s="28">
        <f t="shared" si="79"/>
      </c>
      <c r="FY25" s="26">
        <f ca="1">IF(FX25&lt;&gt;"",RANK(FX25,FX$11:INDIRECT(FX$7,FALSE)),"")</f>
      </c>
      <c r="FZ25" s="26">
        <f t="shared" si="80"/>
      </c>
      <c r="GA25" s="26">
        <f t="shared" si="81"/>
      </c>
      <c r="GC25" s="27">
        <f t="shared" si="32"/>
      </c>
      <c r="GD25" s="27">
        <f t="shared" si="33"/>
      </c>
      <c r="GE25" s="27">
        <f t="shared" si="82"/>
      </c>
      <c r="GF25" s="27">
        <f t="shared" si="83"/>
      </c>
      <c r="GG25" s="27">
        <f t="shared" si="84"/>
        <v>0</v>
      </c>
      <c r="GH25" s="26">
        <f t="shared" si="85"/>
        <v>0</v>
      </c>
      <c r="GI25" s="26">
        <f t="shared" si="86"/>
        <v>0</v>
      </c>
      <c r="GJ25" s="26">
        <f t="shared" si="87"/>
        <v>0</v>
      </c>
      <c r="GK25" s="26">
        <f t="shared" si="88"/>
      </c>
      <c r="GL25" s="28">
        <f t="shared" si="89"/>
      </c>
      <c r="GM25" s="26">
        <f t="shared" si="90"/>
      </c>
    </row>
    <row r="26" spans="1:195" ht="12.75">
      <c r="A26" s="132">
        <f t="shared" si="91"/>
        <v>16</v>
      </c>
      <c r="B26" s="133"/>
      <c r="C26" s="134" t="s">
        <v>133</v>
      </c>
      <c r="D26" s="135" t="s">
        <v>127</v>
      </c>
      <c r="E26" s="134" t="s">
        <v>134</v>
      </c>
      <c r="F26" s="134"/>
      <c r="G26" s="149"/>
      <c r="H26" s="136">
        <f t="shared" si="34"/>
      </c>
      <c r="I26" s="137">
        <f t="shared" si="35"/>
        <v>6934.6</v>
      </c>
      <c r="J26" s="137">
        <f>AD26+AO26+BA26+BM26+BY26+CK26+CW26+DI26+DU26+EG26-(MIN(EZ26:FI26)*$EY$2)</f>
        <v>6934.6</v>
      </c>
      <c r="K26" s="140">
        <f ca="1">IF(I26&lt;&gt;"",RANK(I26,J$11:INDIRECT(J$7,FALSE)),"")</f>
        <v>10</v>
      </c>
      <c r="L26" s="137">
        <f t="shared" si="36"/>
      </c>
      <c r="M26" s="137">
        <f t="shared" si="37"/>
        <v>0</v>
      </c>
      <c r="N26" s="138">
        <f t="shared" si="1"/>
      </c>
      <c r="O26" s="159"/>
      <c r="P26" s="160">
        <f t="shared" si="38"/>
      </c>
      <c r="Q26" s="161"/>
      <c r="R26" s="162">
        <f t="shared" si="39"/>
      </c>
      <c r="S26" s="162">
        <f t="shared" si="40"/>
        <v>0</v>
      </c>
      <c r="T26" s="163">
        <f ca="1">IF(OR(O26&lt;&gt;"",Q26&lt;&gt;""),RANK(S26,S$11:INDIRECT(S$7,FALSE)),"")</f>
      </c>
      <c r="U26" s="164"/>
      <c r="V26" s="165"/>
      <c r="W26" s="165"/>
      <c r="X26" s="166"/>
      <c r="Y26" s="167"/>
      <c r="Z26" s="228">
        <v>69.7</v>
      </c>
      <c r="AA26" s="113">
        <f t="shared" si="41"/>
        <v>69.7</v>
      </c>
      <c r="AB26" s="21"/>
      <c r="AC26" s="114">
        <f t="shared" si="42"/>
        <v>784.8</v>
      </c>
      <c r="AD26" s="114">
        <f t="shared" si="43"/>
        <v>784.8</v>
      </c>
      <c r="AE26" s="115">
        <f ca="1">IF(OR(Z26&lt;&gt;"",AB26&lt;&gt;""),RANK(AD26,AD$11:INDIRECT(AD$7,FALSE)),"")</f>
        <v>20</v>
      </c>
      <c r="AF26" s="116"/>
      <c r="AG26" s="117">
        <f t="shared" si="44"/>
        <v>784.8</v>
      </c>
      <c r="AH26" s="117">
        <f t="shared" si="45"/>
        <v>784.8</v>
      </c>
      <c r="AI26" s="118">
        <f ca="1">IF(OR(Z26&lt;&gt;"",AB26&lt;&gt;""),RANK(AH26,AH$11:INDIRECT(AH$7,FALSE)),"")</f>
        <v>20</v>
      </c>
      <c r="AJ26" s="119"/>
      <c r="AK26" s="5">
        <v>58.77</v>
      </c>
      <c r="AL26" s="113">
        <f t="shared" si="2"/>
        <v>58.77</v>
      </c>
      <c r="AM26" s="21"/>
      <c r="AN26" s="114">
        <f t="shared" si="46"/>
        <v>887</v>
      </c>
      <c r="AO26" s="114">
        <f t="shared" si="47"/>
        <v>887</v>
      </c>
      <c r="AP26" s="115">
        <f ca="1">IF(OR(AK26&lt;&gt;"",AM26&lt;&gt;""),RANK(AO26,AO$11:INDIRECT(AO$7,FALSE)),"")</f>
        <v>8</v>
      </c>
      <c r="AQ26" s="116"/>
      <c r="AR26" s="117">
        <f t="shared" si="3"/>
        <v>1671.8</v>
      </c>
      <c r="AS26" s="120">
        <f>IF(AND($F$8&lt;3,AR26&lt;&gt;""),HLOOKUP(MATCH(EQ26,EZ26:FA26,0),Discards,1,FALSE),"")</f>
      </c>
      <c r="AT26" s="117">
        <f t="shared" si="4"/>
        <v>1671.8</v>
      </c>
      <c r="AU26" s="118">
        <f ca="1">IF(OR(AK26&lt;&gt;"",AM26&lt;&gt;""),RANK(AT26,AT$11:INDIRECT(AT$7,FALSE)),"")</f>
        <v>16</v>
      </c>
      <c r="AV26" s="119"/>
      <c r="AW26" s="5">
        <v>57.11</v>
      </c>
      <c r="AX26" s="113">
        <f t="shared" si="5"/>
        <v>57.11</v>
      </c>
      <c r="AY26" s="21"/>
      <c r="AZ26" s="114">
        <f t="shared" si="48"/>
        <v>825.8</v>
      </c>
      <c r="BA26" s="114">
        <f t="shared" si="49"/>
        <v>825.8</v>
      </c>
      <c r="BB26" s="115">
        <f ca="1">IF(OR(AW26&lt;&gt;"",AY26&lt;&gt;""),RANK(BA26,BA$11:INDIRECT(BA$7,FALSE)),"")</f>
        <v>11</v>
      </c>
      <c r="BC26" s="116"/>
      <c r="BD26" s="117">
        <f t="shared" si="6"/>
        <v>2497.6</v>
      </c>
      <c r="BE26" s="120">
        <f>IF(AND($F$8&lt;4,BD26&lt;&gt;""),HLOOKUP(MATCH(ER26,EZ26:FB26,0),Discards,1,FALSE),"")</f>
      </c>
      <c r="BF26" s="117">
        <f t="shared" si="50"/>
        <v>2497.6</v>
      </c>
      <c r="BG26" s="118">
        <f ca="1">IF(OR(AW26&lt;&gt;"",AY26&lt;&gt;""),RANK(BF26,BF$11:INDIRECT(BF$7,FALSE)),"")</f>
        <v>13</v>
      </c>
      <c r="BH26" s="119"/>
      <c r="BI26" s="5">
        <v>51.98</v>
      </c>
      <c r="BJ26" s="113">
        <f t="shared" si="7"/>
        <v>51.98</v>
      </c>
      <c r="BK26" s="21"/>
      <c r="BL26" s="114">
        <f t="shared" si="51"/>
        <v>944.4</v>
      </c>
      <c r="BM26" s="114">
        <f t="shared" si="52"/>
        <v>944.4</v>
      </c>
      <c r="BN26" s="115">
        <f ca="1">IF(OR(BI26&lt;&gt;"",BK26&lt;&gt;""),RANK(BM26,BM$11:INDIRECT(BM$7,FALSE)),"")</f>
        <v>3</v>
      </c>
      <c r="BO26" s="116"/>
      <c r="BP26" s="117">
        <f t="shared" si="8"/>
        <v>3442</v>
      </c>
      <c r="BQ26" s="120">
        <f>IF(AND($F$8&lt;5,BP26&lt;&gt;""),HLOOKUP(MATCH(ES26,EZ26:FC26,0),Discards,1,FALSE),"")</f>
      </c>
      <c r="BR26" s="117">
        <f t="shared" si="53"/>
        <v>3442</v>
      </c>
      <c r="BS26" s="118">
        <f ca="1">IF(OR(BI26&lt;&gt;"",BK26&lt;&gt;""),RANK(BR26,BR$11:INDIRECT(BR$7,FALSE)),"")</f>
        <v>11</v>
      </c>
      <c r="BT26" s="119"/>
      <c r="BU26" s="5">
        <v>56.34</v>
      </c>
      <c r="BV26" s="113">
        <f t="shared" si="9"/>
        <v>56.34</v>
      </c>
      <c r="BW26" s="21"/>
      <c r="BX26" s="114">
        <f t="shared" si="54"/>
        <v>811.7</v>
      </c>
      <c r="BY26" s="114">
        <f t="shared" si="55"/>
        <v>811.7</v>
      </c>
      <c r="BZ26" s="115">
        <f ca="1">IF(OR(BU26&lt;&gt;"",BW26&lt;&gt;""),RANK(BY26,BY$11:INDIRECT(BY$7,FALSE)),"")</f>
        <v>12</v>
      </c>
      <c r="CA26" s="116"/>
      <c r="CB26" s="117">
        <f t="shared" si="10"/>
        <v>3468.8999999999996</v>
      </c>
      <c r="CC26" s="120">
        <f>IF(AND($F$8&lt;6,CB26&lt;&gt;""),HLOOKUP(MATCH(ET26,EZ26:FD26,0),Discards,1,FALSE),"")</f>
        <v>1</v>
      </c>
      <c r="CD26" s="117">
        <f t="shared" si="56"/>
        <v>3468.8999999999996</v>
      </c>
      <c r="CE26" s="118">
        <f ca="1">IF(OR(BU26&lt;&gt;"",BW26&lt;&gt;""),RANK(CD26,CD$11:INDIRECT(CD$7,FALSE)),"")</f>
        <v>13</v>
      </c>
      <c r="CF26" s="119"/>
      <c r="CG26" s="5">
        <v>57.4</v>
      </c>
      <c r="CH26" s="113">
        <f t="shared" si="11"/>
        <v>57.4</v>
      </c>
      <c r="CI26" s="21"/>
      <c r="CJ26" s="114">
        <f t="shared" si="57"/>
        <v>859.8</v>
      </c>
      <c r="CK26" s="114">
        <f t="shared" si="58"/>
        <v>859.8</v>
      </c>
      <c r="CL26" s="115">
        <f ca="1">IF(OR(CG26&lt;&gt;"",CI26&lt;&gt;""),RANK(CK26,CK$11:INDIRECT(CK$7,FALSE)),"")</f>
        <v>12</v>
      </c>
      <c r="CM26" s="116"/>
      <c r="CN26" s="117">
        <f t="shared" si="12"/>
        <v>4328.7</v>
      </c>
      <c r="CO26" s="120">
        <f>IF(AND($F$8&lt;7,CN26&lt;&gt;""),HLOOKUP(MATCH(EU26,EZ26:FE26,0),Discards,1,FALSE),"")</f>
        <v>1</v>
      </c>
      <c r="CP26" s="117">
        <f t="shared" si="59"/>
        <v>4328.7</v>
      </c>
      <c r="CQ26" s="118">
        <f ca="1">IF(OR(CG26&lt;&gt;"",CI26&lt;&gt;""),RANK(CP26,CP$11:INDIRECT(CP$7,FALSE)),"")</f>
        <v>15</v>
      </c>
      <c r="CR26" s="119"/>
      <c r="CS26" s="5">
        <v>40</v>
      </c>
      <c r="CT26" s="113">
        <f t="shared" si="13"/>
        <v>40</v>
      </c>
      <c r="CU26" s="21"/>
      <c r="CV26" s="114">
        <f t="shared" si="60"/>
        <v>999.5</v>
      </c>
      <c r="CW26" s="114">
        <f t="shared" si="61"/>
        <v>999.5</v>
      </c>
      <c r="CX26" s="115">
        <f ca="1">IF(OR(CS26&lt;&gt;"",CU26&lt;&gt;""),RANK(CW26,CW$11:INDIRECT(CW$7,FALSE)),"")</f>
        <v>2</v>
      </c>
      <c r="CY26" s="116"/>
      <c r="CZ26" s="117">
        <f t="shared" si="14"/>
        <v>5328.2</v>
      </c>
      <c r="DA26" s="120">
        <f>IF(AND($F$8&lt;8,CZ26&lt;&gt;""),HLOOKUP(MATCH(EV26,EZ26:FF26,0),Discards,1,FALSE),"")</f>
        <v>1</v>
      </c>
      <c r="DB26" s="117">
        <f t="shared" si="62"/>
        <v>5328.2</v>
      </c>
      <c r="DC26" s="118">
        <f ca="1">IF(OR(CS26&lt;&gt;"",CU26&lt;&gt;""),RANK(DB26,DB$11:INDIRECT(DB$7,FALSE)),"")</f>
        <v>7</v>
      </c>
      <c r="DD26" s="119"/>
      <c r="DE26" s="5">
        <v>54.53</v>
      </c>
      <c r="DF26" s="113">
        <f t="shared" si="15"/>
        <v>54.53</v>
      </c>
      <c r="DG26" s="21"/>
      <c r="DH26" s="114">
        <f t="shared" si="63"/>
        <v>791.3</v>
      </c>
      <c r="DI26" s="114">
        <f t="shared" si="64"/>
        <v>791.3</v>
      </c>
      <c r="DJ26" s="115">
        <f ca="1">IF(OR(DE26&lt;&gt;"",DG26&lt;&gt;""),RANK(DI26,DI$11:INDIRECT(DI$7,FALSE)),"")</f>
        <v>17</v>
      </c>
      <c r="DK26" s="116"/>
      <c r="DL26" s="117">
        <f t="shared" si="16"/>
        <v>6119.5</v>
      </c>
      <c r="DM26" s="120">
        <f>IF(AND($F$8&lt;9,DL26&lt;&gt;""),HLOOKUP(MATCH(EW26,EZ26:FG26,0),Discards,1,FALSE),"")</f>
        <v>1</v>
      </c>
      <c r="DN26" s="117">
        <f t="shared" si="65"/>
        <v>6119.5</v>
      </c>
      <c r="DO26" s="118">
        <f ca="1">IF(OR(DE26&lt;&gt;"",DG26&lt;&gt;""),RANK(DN26,DN$11:INDIRECT(DN$7,FALSE)),"")</f>
        <v>8</v>
      </c>
      <c r="DP26" s="119"/>
      <c r="DQ26" s="5">
        <v>53.44</v>
      </c>
      <c r="DR26" s="113">
        <f t="shared" si="17"/>
        <v>53.44</v>
      </c>
      <c r="DS26" s="21"/>
      <c r="DT26" s="114">
        <f t="shared" si="66"/>
        <v>815.1</v>
      </c>
      <c r="DU26" s="114">
        <f t="shared" si="67"/>
        <v>815.1</v>
      </c>
      <c r="DV26" s="115">
        <f ca="1">IF(OR(DQ26&lt;&gt;"",DS26&lt;&gt;""),RANK(DU26,DU$11:INDIRECT(DU$7,FALSE)),"")</f>
        <v>15</v>
      </c>
      <c r="DW26" s="116"/>
      <c r="DX26" s="117">
        <f t="shared" si="18"/>
        <v>6934.6</v>
      </c>
      <c r="DY26" s="120">
        <f>IF(AND($F$8&lt;10,DX26&lt;&gt;""),HLOOKUP(MATCH(EX26,EZ26:FH26,0),Discards,1,FALSE),"")</f>
        <v>1</v>
      </c>
      <c r="DZ26" s="117">
        <f t="shared" si="68"/>
        <v>6934.6</v>
      </c>
      <c r="EA26" s="118">
        <f ca="1">IF(OR(DQ26&lt;&gt;"",DS26&lt;&gt;""),RANK(DZ26,DZ$11:INDIRECT(DZ$7,FALSE)),"")</f>
        <v>10</v>
      </c>
      <c r="EB26" s="119"/>
      <c r="EC26" s="5"/>
      <c r="ED26" s="113">
        <f t="shared" si="19"/>
      </c>
      <c r="EE26" s="21"/>
      <c r="EF26" s="114">
        <f t="shared" si="69"/>
      </c>
      <c r="EG26" s="114">
        <f t="shared" si="70"/>
        <v>0</v>
      </c>
      <c r="EH26" s="115">
        <f ca="1">IF(OR(EC26&lt;&gt;"",EE26&lt;&gt;""),RANK(EG26,EG$11:INDIRECT(EG$7,FALSE)),"")</f>
      </c>
      <c r="EI26" s="116"/>
      <c r="EJ26" s="117">
        <f t="shared" si="20"/>
      </c>
      <c r="EK26" s="120">
        <f>IF(AND($F$8&lt;11,EJ26&lt;&gt;""),HLOOKUP(MATCH(EY26,EZ26:FI26,0),Discards,1,FALSE),"")</f>
      </c>
      <c r="EL26" s="117">
        <f t="shared" si="71"/>
        <v>0</v>
      </c>
      <c r="EM26" s="118">
        <f ca="1">IF(OR(EC26&lt;&gt;"",EE26&lt;&gt;""),RANK(EL26,EL$11:INDIRECT(EL$7,FALSE)),"")</f>
      </c>
      <c r="EN26" s="121"/>
      <c r="EP26" s="112">
        <f t="shared" si="72"/>
        <v>1</v>
      </c>
      <c r="EQ26" s="28">
        <f>MIN($EZ26:FA26)</f>
        <v>784.8</v>
      </c>
      <c r="ER26" s="28">
        <f>MIN($EZ26:FB26)</f>
        <v>784.8</v>
      </c>
      <c r="ES26" s="28">
        <f>MIN($EZ26:FC26)</f>
        <v>784.8</v>
      </c>
      <c r="ET26" s="28">
        <f>MIN($EZ26:FD26)</f>
        <v>784.8</v>
      </c>
      <c r="EU26" s="28">
        <f>MIN($EZ26:FE26)</f>
        <v>784.8</v>
      </c>
      <c r="EV26" s="28">
        <f>MIN($EZ26:FF26)</f>
        <v>784.8</v>
      </c>
      <c r="EW26" s="28">
        <f>MIN($EZ26:FG26)</f>
        <v>784.8</v>
      </c>
      <c r="EX26" s="28">
        <f>MIN($EZ26:FH26)</f>
        <v>784.8</v>
      </c>
      <c r="EY26" s="28">
        <f>MIN($EZ26:FI26)</f>
        <v>784.8</v>
      </c>
      <c r="EZ26" s="28">
        <f t="shared" si="21"/>
        <v>784.8</v>
      </c>
      <c r="FA26" s="28">
        <f t="shared" si="22"/>
        <v>887</v>
      </c>
      <c r="FB26" s="28">
        <f t="shared" si="23"/>
        <v>825.8</v>
      </c>
      <c r="FC26" s="28">
        <f t="shared" si="24"/>
        <v>944.4</v>
      </c>
      <c r="FD26" s="28">
        <f t="shared" si="25"/>
        <v>811.7</v>
      </c>
      <c r="FE26" s="28">
        <f t="shared" si="26"/>
        <v>859.8</v>
      </c>
      <c r="FF26" s="28">
        <f t="shared" si="27"/>
        <v>999.5</v>
      </c>
      <c r="FG26" s="28">
        <f t="shared" si="28"/>
        <v>791.3</v>
      </c>
      <c r="FH26" s="28">
        <f t="shared" si="29"/>
        <v>815.1</v>
      </c>
      <c r="FI26" s="28">
        <f t="shared" si="30"/>
      </c>
      <c r="FL26" s="26">
        <f t="shared" si="73"/>
        <v>255000000</v>
      </c>
      <c r="FM26" s="26">
        <f t="shared" si="93"/>
        <v>255000</v>
      </c>
      <c r="FN26" s="26">
        <f t="shared" si="94"/>
        <v>255</v>
      </c>
      <c r="FO26" s="26">
        <f>IF(C26&lt;&gt;"",SUM(FL26:FN26),0)</f>
        <v>255255255</v>
      </c>
      <c r="FP26" s="26">
        <f ca="1">IF(FO26&gt;0,SMALL($FO$11:INDIRECT($FO$7,FALSE),A26),0)</f>
        <v>255255255</v>
      </c>
      <c r="FQ26" s="26">
        <f t="shared" si="74"/>
        <v>255</v>
      </c>
      <c r="FR26" s="26">
        <f t="shared" si="75"/>
        <v>255</v>
      </c>
      <c r="FS26" s="26">
        <f t="shared" si="76"/>
        <v>255</v>
      </c>
      <c r="FT26" s="26">
        <f t="shared" si="77"/>
      </c>
      <c r="FU26" s="26">
        <f t="shared" si="78"/>
        <v>24</v>
      </c>
      <c r="FV26" s="28">
        <f t="shared" si="31"/>
      </c>
      <c r="FW26" s="26">
        <f t="shared" si="92"/>
      </c>
      <c r="FX26" s="28">
        <f t="shared" si="79"/>
      </c>
      <c r="FY26" s="26">
        <f ca="1">IF(FX26&lt;&gt;"",RANK(FX26,FX$11:INDIRECT(FX$7,FALSE)),"")</f>
      </c>
      <c r="FZ26" s="26">
        <f t="shared" si="80"/>
      </c>
      <c r="GA26" s="26">
        <f t="shared" si="81"/>
      </c>
      <c r="GC26" s="27">
        <f t="shared" si="32"/>
      </c>
      <c r="GD26" s="27">
        <f t="shared" si="33"/>
      </c>
      <c r="GE26" s="27">
        <f t="shared" si="82"/>
      </c>
      <c r="GF26" s="27">
        <f t="shared" si="83"/>
      </c>
      <c r="GG26" s="27">
        <f t="shared" si="84"/>
        <v>0</v>
      </c>
      <c r="GH26" s="26">
        <f t="shared" si="85"/>
        <v>0</v>
      </c>
      <c r="GI26" s="26">
        <f t="shared" si="86"/>
        <v>0</v>
      </c>
      <c r="GJ26" s="26">
        <f t="shared" si="87"/>
        <v>0</v>
      </c>
      <c r="GK26" s="26">
        <f t="shared" si="88"/>
      </c>
      <c r="GL26" s="28">
        <f t="shared" si="89"/>
      </c>
      <c r="GM26" s="26">
        <f t="shared" si="90"/>
      </c>
    </row>
    <row r="27" spans="1:195" ht="12.75">
      <c r="A27" s="132">
        <f t="shared" si="91"/>
        <v>17</v>
      </c>
      <c r="B27" s="133"/>
      <c r="C27" s="134" t="s">
        <v>132</v>
      </c>
      <c r="D27" s="135" t="s">
        <v>90</v>
      </c>
      <c r="E27" s="134" t="s">
        <v>135</v>
      </c>
      <c r="F27" s="134"/>
      <c r="G27" s="149"/>
      <c r="H27" s="136">
        <f t="shared" si="34"/>
      </c>
      <c r="I27" s="137">
        <f t="shared" si="35"/>
        <v>6475.400000000001</v>
      </c>
      <c r="J27" s="137">
        <f>AD27+AO27+BA27+BM27+BY27+CK27+CW27+DI27+DU27+EG27-(MIN(EZ27:FI27)*$EY$2)</f>
        <v>6475.400000000001</v>
      </c>
      <c r="K27" s="140">
        <f ca="1">IF(I27&lt;&gt;"",RANK(I27,J$11:INDIRECT(J$7,FALSE)),"")</f>
        <v>20</v>
      </c>
      <c r="L27" s="137">
        <f t="shared" si="36"/>
      </c>
      <c r="M27" s="137">
        <f t="shared" si="37"/>
        <v>0</v>
      </c>
      <c r="N27" s="138">
        <f t="shared" si="1"/>
      </c>
      <c r="O27" s="159"/>
      <c r="P27" s="160">
        <f t="shared" si="38"/>
      </c>
      <c r="Q27" s="161"/>
      <c r="R27" s="162">
        <f t="shared" si="39"/>
      </c>
      <c r="S27" s="162">
        <f t="shared" si="40"/>
        <v>0</v>
      </c>
      <c r="T27" s="163">
        <f ca="1">IF(OR(O27&lt;&gt;"",Q27&lt;&gt;""),RANK(S27,S$11:INDIRECT(S$7,FALSE)),"")</f>
      </c>
      <c r="U27" s="164"/>
      <c r="V27" s="165"/>
      <c r="W27" s="165"/>
      <c r="X27" s="166"/>
      <c r="Y27" s="167"/>
      <c r="Z27" s="228">
        <v>77.39</v>
      </c>
      <c r="AA27" s="113">
        <f t="shared" si="41"/>
        <v>77.39</v>
      </c>
      <c r="AB27" s="21">
        <v>100</v>
      </c>
      <c r="AC27" s="114">
        <f t="shared" si="42"/>
        <v>706.8</v>
      </c>
      <c r="AD27" s="114">
        <f t="shared" si="43"/>
        <v>606.8</v>
      </c>
      <c r="AE27" s="115">
        <f ca="1">IF(OR(Z27&lt;&gt;"",AB27&lt;&gt;""),RANK(AD27,AD$11:INDIRECT(AD$7,FALSE)),"")</f>
        <v>26</v>
      </c>
      <c r="AF27" s="116"/>
      <c r="AG27" s="117">
        <f t="shared" si="44"/>
        <v>606.8</v>
      </c>
      <c r="AH27" s="117">
        <f t="shared" si="45"/>
        <v>606.8</v>
      </c>
      <c r="AI27" s="118">
        <f ca="1">IF(OR(Z27&lt;&gt;"",AB27&lt;&gt;""),RANK(AH27,AH$11:INDIRECT(AH$7,FALSE)),"")</f>
        <v>26</v>
      </c>
      <c r="AJ27" s="119"/>
      <c r="AK27" s="5">
        <v>56.37</v>
      </c>
      <c r="AL27" s="113">
        <f t="shared" si="2"/>
        <v>56.37</v>
      </c>
      <c r="AM27" s="21"/>
      <c r="AN27" s="114">
        <f t="shared" si="46"/>
        <v>924.8</v>
      </c>
      <c r="AO27" s="114">
        <f t="shared" si="47"/>
        <v>924.8</v>
      </c>
      <c r="AP27" s="115">
        <f ca="1">IF(OR(AK27&lt;&gt;"",AM27&lt;&gt;""),RANK(AO27,AO$11:INDIRECT(AO$7,FALSE)),"")</f>
        <v>4</v>
      </c>
      <c r="AQ27" s="116"/>
      <c r="AR27" s="117">
        <f t="shared" si="3"/>
        <v>1531.6</v>
      </c>
      <c r="AS27" s="120">
        <f>IF(AND($F$8&lt;3,AR27&lt;&gt;""),HLOOKUP(MATCH(EQ27,EZ27:FA27,0),Discards,1,FALSE),"")</f>
      </c>
      <c r="AT27" s="117">
        <f t="shared" si="4"/>
        <v>1531.6</v>
      </c>
      <c r="AU27" s="118">
        <f ca="1">IF(OR(AK27&lt;&gt;"",AM27&lt;&gt;""),RANK(AT27,AT$11:INDIRECT(AT$7,FALSE)),"")</f>
        <v>23</v>
      </c>
      <c r="AV27" s="119"/>
      <c r="AW27" s="5">
        <v>52.19</v>
      </c>
      <c r="AX27" s="113">
        <f aca="true" t="shared" si="95" ref="AX27:AX42">IF(AW27,AW27,"")</f>
        <v>52.19</v>
      </c>
      <c r="AY27" s="21"/>
      <c r="AZ27" s="114">
        <f t="shared" si="48"/>
        <v>903.6</v>
      </c>
      <c r="BA27" s="114">
        <f t="shared" si="49"/>
        <v>903.6</v>
      </c>
      <c r="BB27" s="115">
        <f ca="1">IF(OR(AW27&lt;&gt;"",AY27&lt;&gt;""),RANK(BA27,BA$11:INDIRECT(BA$7,FALSE)),"")</f>
        <v>5</v>
      </c>
      <c r="BC27" s="116"/>
      <c r="BD27" s="117">
        <f t="shared" si="6"/>
        <v>2435.2</v>
      </c>
      <c r="BE27" s="120">
        <f>IF(AND($F$8&lt;4,BD27&lt;&gt;""),HLOOKUP(MATCH(ER27,EZ27:FB27,0),Discards,1,FALSE),"")</f>
      </c>
      <c r="BF27" s="117">
        <f t="shared" si="50"/>
        <v>2435.2</v>
      </c>
      <c r="BG27" s="118">
        <f ca="1">IF(OR(AW27&lt;&gt;"",AY27&lt;&gt;""),RANK(BF27,BF$11:INDIRECT(BF$7,FALSE)),"")</f>
        <v>19</v>
      </c>
      <c r="BH27" s="119"/>
      <c r="BI27" s="5">
        <v>66.66</v>
      </c>
      <c r="BJ27" s="113">
        <f aca="true" t="shared" si="96" ref="BJ27:BJ42">IF(BI27,BI27,"")</f>
        <v>66.66</v>
      </c>
      <c r="BK27" s="21"/>
      <c r="BL27" s="114">
        <f t="shared" si="51"/>
        <v>736.4</v>
      </c>
      <c r="BM27" s="114">
        <f t="shared" si="52"/>
        <v>736.4</v>
      </c>
      <c r="BN27" s="115">
        <f ca="1">IF(OR(BI27&lt;&gt;"",BK27&lt;&gt;""),RANK(BM27,BM$11:INDIRECT(BM$7,FALSE)),"")</f>
        <v>25</v>
      </c>
      <c r="BO27" s="116"/>
      <c r="BP27" s="117">
        <f t="shared" si="8"/>
        <v>3171.6</v>
      </c>
      <c r="BQ27" s="120">
        <f>IF(AND($F$8&lt;5,BP27&lt;&gt;""),HLOOKUP(MATCH(ES27,EZ27:FC27,0),Discards,1,FALSE),"")</f>
      </c>
      <c r="BR27" s="117">
        <f t="shared" si="53"/>
        <v>3171.6</v>
      </c>
      <c r="BS27" s="118">
        <f ca="1">IF(OR(BI27&lt;&gt;"",BK27&lt;&gt;""),RANK(BR27,BR$11:INDIRECT(BR$7,FALSE)),"")</f>
        <v>23</v>
      </c>
      <c r="BT27" s="119"/>
      <c r="BU27" s="5">
        <v>57.89</v>
      </c>
      <c r="BV27" s="113">
        <f aca="true" t="shared" si="97" ref="BV27:BV42">IF(BU27,BU27,"")</f>
        <v>57.89</v>
      </c>
      <c r="BW27" s="21"/>
      <c r="BX27" s="114">
        <f t="shared" si="54"/>
        <v>789.9</v>
      </c>
      <c r="BY27" s="114">
        <f t="shared" si="55"/>
        <v>789.9</v>
      </c>
      <c r="BZ27" s="115">
        <f ca="1">IF(OR(BU27&lt;&gt;"",BW27&lt;&gt;""),RANK(BY27,BY$11:INDIRECT(BY$7,FALSE)),"")</f>
        <v>18</v>
      </c>
      <c r="CA27" s="116"/>
      <c r="CB27" s="117">
        <f t="shared" si="10"/>
        <v>3254.7</v>
      </c>
      <c r="CC27" s="120">
        <f>IF(AND($F$8&lt;6,CB27&lt;&gt;""),HLOOKUP(MATCH(ET27,EZ27:FD27,0),Discards,1,FALSE),"")</f>
        <v>1</v>
      </c>
      <c r="CD27" s="117">
        <f t="shared" si="56"/>
        <v>3254.7</v>
      </c>
      <c r="CE27" s="118">
        <f ca="1">IF(OR(BU27&lt;&gt;"",BW27&lt;&gt;""),RANK(CD27,CD$11:INDIRECT(CD$7,FALSE)),"")</f>
        <v>21</v>
      </c>
      <c r="CF27" s="119"/>
      <c r="CG27" s="5">
        <v>64.47</v>
      </c>
      <c r="CH27" s="113">
        <f aca="true" t="shared" si="98" ref="CH27:CH42">IF(CG27,CG27,"")</f>
        <v>64.47</v>
      </c>
      <c r="CI27" s="21"/>
      <c r="CJ27" s="114">
        <f t="shared" si="57"/>
        <v>765.5</v>
      </c>
      <c r="CK27" s="114">
        <f t="shared" si="58"/>
        <v>765.5</v>
      </c>
      <c r="CL27" s="115">
        <f ca="1">IF(OR(CG27&lt;&gt;"",CI27&lt;&gt;""),RANK(CK27,CK$11:INDIRECT(CK$7,FALSE)),"")</f>
        <v>21</v>
      </c>
      <c r="CM27" s="116"/>
      <c r="CN27" s="117">
        <f t="shared" si="12"/>
        <v>4020.2</v>
      </c>
      <c r="CO27" s="120">
        <f>IF(AND($F$8&lt;7,CN27&lt;&gt;""),HLOOKUP(MATCH(EU27,EZ27:FE27,0),Discards,1,FALSE),"")</f>
        <v>1</v>
      </c>
      <c r="CP27" s="117">
        <f t="shared" si="59"/>
        <v>4020.2</v>
      </c>
      <c r="CQ27" s="118">
        <f ca="1">IF(OR(CG27&lt;&gt;"",CI27&lt;&gt;""),RANK(CP27,CP$11:INDIRECT(CP$7,FALSE)),"")</f>
        <v>23</v>
      </c>
      <c r="CR27" s="119"/>
      <c r="CS27" s="5">
        <v>47.92</v>
      </c>
      <c r="CT27" s="113">
        <f aca="true" t="shared" si="99" ref="CT27:CT42">IF(CS27,CS27,"")</f>
        <v>47.92</v>
      </c>
      <c r="CU27" s="21"/>
      <c r="CV27" s="114">
        <f t="shared" si="60"/>
        <v>834.3</v>
      </c>
      <c r="CW27" s="114">
        <f t="shared" si="61"/>
        <v>834.3</v>
      </c>
      <c r="CX27" s="115">
        <f ca="1">IF(OR(CS27&lt;&gt;"",CU27&lt;&gt;""),RANK(CW27,CW$11:INDIRECT(CW$7,FALSE)),"")</f>
        <v>4</v>
      </c>
      <c r="CY27" s="116"/>
      <c r="CZ27" s="117">
        <f t="shared" si="14"/>
        <v>4854.5</v>
      </c>
      <c r="DA27" s="120">
        <f>IF(AND($F$8&lt;8,CZ27&lt;&gt;""),HLOOKUP(MATCH(EV27,EZ27:FF27,0),Discards,1,FALSE),"")</f>
        <v>1</v>
      </c>
      <c r="DB27" s="117">
        <f t="shared" si="62"/>
        <v>4854.5</v>
      </c>
      <c r="DC27" s="118">
        <f ca="1">IF(OR(CS27&lt;&gt;"",CU27&lt;&gt;""),RANK(DB27,DB$11:INDIRECT(DB$7,FALSE)),"")</f>
        <v>20</v>
      </c>
      <c r="DD27" s="119"/>
      <c r="DE27" s="5">
        <v>55.44</v>
      </c>
      <c r="DF27" s="113">
        <f aca="true" t="shared" si="100" ref="DF27:DF42">IF(DE27,DE27,"")</f>
        <v>55.44</v>
      </c>
      <c r="DG27" s="21"/>
      <c r="DH27" s="114">
        <f t="shared" si="63"/>
        <v>778.3</v>
      </c>
      <c r="DI27" s="114">
        <f t="shared" si="64"/>
        <v>778.3</v>
      </c>
      <c r="DJ27" s="115">
        <f ca="1">IF(OR(DE27&lt;&gt;"",DG27&lt;&gt;""),RANK(DI27,DI$11:INDIRECT(DI$7,FALSE)),"")</f>
        <v>20</v>
      </c>
      <c r="DK27" s="116"/>
      <c r="DL27" s="117">
        <f t="shared" si="16"/>
        <v>5632.8</v>
      </c>
      <c r="DM27" s="120">
        <f>IF(AND($F$8&lt;9,DL27&lt;&gt;""),HLOOKUP(MATCH(EW27,EZ27:FG27,0),Discards,1,FALSE),"")</f>
        <v>1</v>
      </c>
      <c r="DN27" s="117">
        <f t="shared" si="65"/>
        <v>5632.8</v>
      </c>
      <c r="DO27" s="118">
        <f ca="1">IF(OR(DE27&lt;&gt;"",DG27&lt;&gt;""),RANK(DN27,DN$11:INDIRECT(DN$7,FALSE)),"")</f>
        <v>21</v>
      </c>
      <c r="DP27" s="119"/>
      <c r="DQ27" s="5">
        <v>51.7</v>
      </c>
      <c r="DR27" s="113">
        <f aca="true" t="shared" si="101" ref="DR27:DR42">IF(DQ27,DQ27,"")</f>
        <v>51.7</v>
      </c>
      <c r="DS27" s="21"/>
      <c r="DT27" s="114">
        <f t="shared" si="66"/>
        <v>842.6</v>
      </c>
      <c r="DU27" s="114">
        <f t="shared" si="67"/>
        <v>842.6</v>
      </c>
      <c r="DV27" s="115">
        <f ca="1">IF(OR(DQ27&lt;&gt;"",DS27&lt;&gt;""),RANK(DU27,DU$11:INDIRECT(DU$7,FALSE)),"")</f>
        <v>11</v>
      </c>
      <c r="DW27" s="116"/>
      <c r="DX27" s="117">
        <f t="shared" si="18"/>
        <v>6475.400000000001</v>
      </c>
      <c r="DY27" s="120">
        <f>IF(AND($F$8&lt;10,DX27&lt;&gt;""),HLOOKUP(MATCH(EX27,EZ27:FH27,0),Discards,1,FALSE),"")</f>
        <v>1</v>
      </c>
      <c r="DZ27" s="117">
        <f t="shared" si="68"/>
        <v>6475.400000000001</v>
      </c>
      <c r="EA27" s="118">
        <f ca="1">IF(OR(DQ27&lt;&gt;"",DS27&lt;&gt;""),RANK(DZ27,DZ$11:INDIRECT(DZ$7,FALSE)),"")</f>
        <v>20</v>
      </c>
      <c r="EB27" s="119"/>
      <c r="EC27" s="5"/>
      <c r="ED27" s="113">
        <f aca="true" t="shared" si="102" ref="ED27:ED42">IF(EC27,EC27,"")</f>
      </c>
      <c r="EE27" s="21"/>
      <c r="EF27" s="114">
        <f t="shared" si="69"/>
      </c>
      <c r="EG27" s="114">
        <f t="shared" si="70"/>
        <v>0</v>
      </c>
      <c r="EH27" s="115">
        <f ca="1">IF(OR(EC27&lt;&gt;"",EE27&lt;&gt;""),RANK(EG27,EG$11:INDIRECT(EG$7,FALSE)),"")</f>
      </c>
      <c r="EI27" s="116"/>
      <c r="EJ27" s="117">
        <f t="shared" si="20"/>
      </c>
      <c r="EK27" s="120">
        <f>IF(AND($F$8&lt;11,EJ27&lt;&gt;""),HLOOKUP(MATCH(EY27,EZ27:FI27,0),Discards,1,FALSE),"")</f>
      </c>
      <c r="EL27" s="117">
        <f t="shared" si="71"/>
        <v>0</v>
      </c>
      <c r="EM27" s="118">
        <f ca="1">IF(OR(EC27&lt;&gt;"",EE27&lt;&gt;""),RANK(EL27,EL$11:INDIRECT(EL$7,FALSE)),"")</f>
      </c>
      <c r="EN27" s="121"/>
      <c r="EP27" s="112">
        <f t="shared" si="72"/>
        <v>1</v>
      </c>
      <c r="EQ27" s="28">
        <f>MIN($EZ27:FA27)</f>
        <v>706.8</v>
      </c>
      <c r="ER27" s="28">
        <f>MIN($EZ27:FB27)</f>
        <v>706.8</v>
      </c>
      <c r="ES27" s="28">
        <f>MIN($EZ27:FC27)</f>
        <v>706.8</v>
      </c>
      <c r="ET27" s="28">
        <f>MIN($EZ27:FD27)</f>
        <v>706.8</v>
      </c>
      <c r="EU27" s="28">
        <f>MIN($EZ27:FE27)</f>
        <v>706.8</v>
      </c>
      <c r="EV27" s="28">
        <f>MIN($EZ27:FF27)</f>
        <v>706.8</v>
      </c>
      <c r="EW27" s="28">
        <f>MIN($EZ27:FG27)</f>
        <v>706.8</v>
      </c>
      <c r="EX27" s="28">
        <f>MIN($EZ27:FH27)</f>
        <v>706.8</v>
      </c>
      <c r="EY27" s="28">
        <f>MIN($EZ27:FI27)</f>
        <v>706.8</v>
      </c>
      <c r="EZ27" s="28">
        <f t="shared" si="21"/>
        <v>706.8</v>
      </c>
      <c r="FA27" s="28">
        <f t="shared" si="22"/>
        <v>924.8</v>
      </c>
      <c r="FB27" s="28">
        <f t="shared" si="23"/>
        <v>903.6</v>
      </c>
      <c r="FC27" s="28">
        <f t="shared" si="24"/>
        <v>736.4</v>
      </c>
      <c r="FD27" s="28">
        <f t="shared" si="25"/>
        <v>789.9</v>
      </c>
      <c r="FE27" s="28">
        <f t="shared" si="26"/>
        <v>765.5</v>
      </c>
      <c r="FF27" s="28">
        <f t="shared" si="27"/>
        <v>834.3</v>
      </c>
      <c r="FG27" s="28">
        <f t="shared" si="28"/>
        <v>778.3</v>
      </c>
      <c r="FH27" s="28">
        <f t="shared" si="29"/>
        <v>842.6</v>
      </c>
      <c r="FI27" s="28">
        <f t="shared" si="30"/>
      </c>
      <c r="FL27" s="26">
        <f t="shared" si="73"/>
        <v>255000000</v>
      </c>
      <c r="FM27" s="26">
        <f t="shared" si="93"/>
        <v>255000</v>
      </c>
      <c r="FN27" s="26">
        <f t="shared" si="94"/>
        <v>255</v>
      </c>
      <c r="FO27" s="26">
        <f>IF(C27&lt;&gt;"",SUM(FL27:FN27),0)</f>
        <v>255255255</v>
      </c>
      <c r="FP27" s="26">
        <f ca="1">IF(FO27&gt;0,SMALL($FO$11:INDIRECT($FO$7,FALSE),A27),0)</f>
        <v>255255255</v>
      </c>
      <c r="FQ27" s="26">
        <f t="shared" si="74"/>
        <v>255</v>
      </c>
      <c r="FR27" s="26">
        <f t="shared" si="75"/>
        <v>255</v>
      </c>
      <c r="FS27" s="26">
        <f t="shared" si="76"/>
        <v>255</v>
      </c>
      <c r="FT27" s="26">
        <f t="shared" si="77"/>
      </c>
      <c r="FU27" s="26">
        <f t="shared" si="78"/>
        <v>24</v>
      </c>
      <c r="FV27" s="28">
        <f t="shared" si="31"/>
      </c>
      <c r="FW27" s="26">
        <f t="shared" si="92"/>
      </c>
      <c r="FX27" s="28">
        <f t="shared" si="79"/>
      </c>
      <c r="FY27" s="26">
        <f ca="1">IF(FX27&lt;&gt;"",RANK(FX27,FX$11:INDIRECT(FX$7,FALSE)),"")</f>
      </c>
      <c r="FZ27" s="26">
        <f t="shared" si="80"/>
      </c>
      <c r="GA27" s="26">
        <f t="shared" si="81"/>
      </c>
      <c r="GC27" s="27">
        <f t="shared" si="32"/>
      </c>
      <c r="GD27" s="27">
        <f t="shared" si="33"/>
      </c>
      <c r="GE27" s="27">
        <f t="shared" si="82"/>
      </c>
      <c r="GF27" s="27">
        <f t="shared" si="83"/>
      </c>
      <c r="GG27" s="27">
        <f t="shared" si="84"/>
        <v>0</v>
      </c>
      <c r="GH27" s="26">
        <f t="shared" si="85"/>
        <v>0</v>
      </c>
      <c r="GI27" s="26">
        <f t="shared" si="86"/>
        <v>0</v>
      </c>
      <c r="GJ27" s="26">
        <f t="shared" si="87"/>
        <v>0</v>
      </c>
      <c r="GK27" s="26">
        <f t="shared" si="88"/>
      </c>
      <c r="GL27" s="28">
        <f t="shared" si="89"/>
      </c>
      <c r="GM27" s="26">
        <f t="shared" si="90"/>
      </c>
    </row>
    <row r="28" spans="1:195" ht="12.75">
      <c r="A28" s="132">
        <f t="shared" si="91"/>
        <v>18</v>
      </c>
      <c r="B28" s="133"/>
      <c r="C28" s="134" t="s">
        <v>136</v>
      </c>
      <c r="D28" s="135" t="s">
        <v>92</v>
      </c>
      <c r="E28" s="134" t="s">
        <v>105</v>
      </c>
      <c r="F28" s="134"/>
      <c r="G28" s="149"/>
      <c r="H28" s="136">
        <f aca="true" t="shared" si="103" ref="H28:H43">IF(G28&lt;&gt;"",LEFT(UPPER(G28),1)&amp;IF(LEN(G28)&gt;1,MID(UPPER(G28),2,1)," ")&amp;IF(LEN(G28)&gt;2,MID(UPPER(G28),3,1)," "),"")</f>
      </c>
      <c r="I28" s="137">
        <f aca="true" t="shared" si="104" ref="I28:I43">IF(Z28&lt;&gt;"",J28,"")</f>
        <v>7687</v>
      </c>
      <c r="J28" s="137">
        <f>AD28+AO28+BA28+BM28+BY28+CK28+CW28+DI28+DU28+EG28-(MIN(EZ28:FI28)*$EY$2)</f>
        <v>7687</v>
      </c>
      <c r="K28" s="140">
        <f ca="1">IF(I28&lt;&gt;"",RANK(I28,J$11:INDIRECT(J$7,FALSE)),"")</f>
        <v>1</v>
      </c>
      <c r="L28" s="137">
        <f aca="true" t="shared" si="105" ref="L28:L43">IF(AND(H28&lt;&gt;"",OR(M28&lt;&gt;0,Z28&lt;&gt;"")),M28,"")</f>
      </c>
      <c r="M28" s="137">
        <f aca="true" t="shared" si="106" ref="M28:M43">IF(G28&lt;&gt;"",SUMIF($H$11:$H$62,H28,$J$11:$J$62),0)</f>
        <v>0</v>
      </c>
      <c r="N28" s="138">
        <f t="shared" si="1"/>
      </c>
      <c r="O28" s="159"/>
      <c r="P28" s="160">
        <f t="shared" si="38"/>
      </c>
      <c r="Q28" s="161"/>
      <c r="R28" s="162">
        <f t="shared" si="39"/>
      </c>
      <c r="S28" s="162">
        <f t="shared" si="40"/>
        <v>0</v>
      </c>
      <c r="T28" s="163">
        <f ca="1">IF(OR(O28&lt;&gt;"",Q28&lt;&gt;""),RANK(S28,S$11:INDIRECT(S$7,FALSE)),"")</f>
      </c>
      <c r="U28" s="164"/>
      <c r="V28" s="165"/>
      <c r="W28" s="165"/>
      <c r="X28" s="166"/>
      <c r="Y28" s="167"/>
      <c r="Z28" s="228">
        <v>58.57</v>
      </c>
      <c r="AA28" s="113">
        <f aca="true" t="shared" si="107" ref="AA28:AA43">IF(Z28,Z28,"")</f>
        <v>58.57</v>
      </c>
      <c r="AB28" s="21"/>
      <c r="AC28" s="114">
        <f aca="true" t="shared" si="108" ref="AC28:AC43">IF(Z28&gt;0,ROUND((1000*AB$5)/Z28,1),IF(Z28="","",0))</f>
        <v>933.9</v>
      </c>
      <c r="AD28" s="114">
        <f aca="true" t="shared" si="109" ref="AD28:AD43">IF(AC28&lt;&gt;"",AC28-AB28,-AB28)</f>
        <v>933.9</v>
      </c>
      <c r="AE28" s="115">
        <f ca="1">IF(OR(Z28&lt;&gt;"",AB28&lt;&gt;""),RANK(AD28,AD$11:INDIRECT(AD$7,FALSE)),"")</f>
        <v>5</v>
      </c>
      <c r="AF28" s="116"/>
      <c r="AG28" s="117">
        <f aca="true" t="shared" si="110" ref="AG28:AG43">IF(OR(Z28&lt;&gt;"",AB28&lt;&gt;""),AD28,"")</f>
        <v>933.9</v>
      </c>
      <c r="AH28" s="117">
        <f aca="true" t="shared" si="111" ref="AH28:AH43">IF(AD28,AD28,0)</f>
        <v>933.9</v>
      </c>
      <c r="AI28" s="118">
        <f ca="1">IF(OR(Z28&lt;&gt;"",AB28&lt;&gt;""),RANK(AH28,AH$11:INDIRECT(AH$7,FALSE)),"")</f>
        <v>5</v>
      </c>
      <c r="AJ28" s="119"/>
      <c r="AK28" s="5">
        <v>52.13</v>
      </c>
      <c r="AL28" s="113">
        <f aca="true" t="shared" si="112" ref="AL28:AL43">IF(AK28,AK28,"")</f>
        <v>52.13</v>
      </c>
      <c r="AM28" s="21"/>
      <c r="AN28" s="114">
        <f aca="true" t="shared" si="113" ref="AN28:AN43">IF(AK28&gt;0,ROUND((1000*AM$5)/AK28,1),IF(AK28="","",0))</f>
        <v>1000</v>
      </c>
      <c r="AO28" s="114">
        <f aca="true" t="shared" si="114" ref="AO28:AO43">IF(AN28&lt;&gt;"",AN28-AM28,-AM28)</f>
        <v>1000</v>
      </c>
      <c r="AP28" s="115">
        <f ca="1">IF(OR(AK28&lt;&gt;"",AM28&lt;&gt;""),RANK(AO28,AO$11:INDIRECT(AO$7,FALSE)),"")</f>
        <v>1</v>
      </c>
      <c r="AQ28" s="116"/>
      <c r="AR28" s="117">
        <f t="shared" si="3"/>
        <v>1933.9</v>
      </c>
      <c r="AS28" s="120">
        <f>IF(AND($F$8&lt;3,AR28&lt;&gt;""),HLOOKUP(MATCH(EQ28,EZ28:FA28,0),Discards,1,FALSE),"")</f>
      </c>
      <c r="AT28" s="117">
        <f t="shared" si="4"/>
        <v>1933.9</v>
      </c>
      <c r="AU28" s="118">
        <f ca="1">IF(OR(AK28&lt;&gt;"",AM28&lt;&gt;""),RANK(AT28,AT$11:INDIRECT(AT$7,FALSE)),"")</f>
        <v>1</v>
      </c>
      <c r="AV28" s="119"/>
      <c r="AW28" s="5">
        <v>54.74</v>
      </c>
      <c r="AX28" s="113">
        <f t="shared" si="95"/>
        <v>54.74</v>
      </c>
      <c r="AY28" s="21"/>
      <c r="AZ28" s="114">
        <f aca="true" t="shared" si="115" ref="AZ28:AZ43">IF(AW28&gt;0,ROUND((1000*AY$5)/AW28,1),IF(AW28="","",0))</f>
        <v>861.5</v>
      </c>
      <c r="BA28" s="114">
        <f aca="true" t="shared" si="116" ref="BA28:BA43">IF(AZ28&lt;&gt;"",AZ28-AY28,-AY28)</f>
        <v>861.5</v>
      </c>
      <c r="BB28" s="115">
        <f ca="1">IF(OR(AW28&lt;&gt;"",AY28&lt;&gt;""),RANK(BA28,BA$11:INDIRECT(BA$7,FALSE)),"")</f>
        <v>7</v>
      </c>
      <c r="BC28" s="116"/>
      <c r="BD28" s="117">
        <f t="shared" si="6"/>
        <v>2795.4</v>
      </c>
      <c r="BE28" s="120">
        <f>IF(AND($F$8&lt;4,BD28&lt;&gt;""),HLOOKUP(MATCH(ER28,EZ28:FB28,0),Discards,1,FALSE),"")</f>
      </c>
      <c r="BF28" s="117">
        <f aca="true" t="shared" si="117" ref="BF28:BF43">IF(OR(AW28&lt;&gt;"",AY28&lt;&gt;""),BD28,0)</f>
        <v>2795.4</v>
      </c>
      <c r="BG28" s="118">
        <f ca="1">IF(OR(AW28&lt;&gt;"",AY28&lt;&gt;""),RANK(BF28,BF$11:INDIRECT(BF$7,FALSE)),"")</f>
        <v>1</v>
      </c>
      <c r="BH28" s="119"/>
      <c r="BI28" s="5">
        <v>49.09</v>
      </c>
      <c r="BJ28" s="113">
        <f t="shared" si="96"/>
        <v>49.09</v>
      </c>
      <c r="BK28" s="21"/>
      <c r="BL28" s="114">
        <f aca="true" t="shared" si="118" ref="BL28:BL43">IF(BI28&gt;0,ROUND((1000*BK$5)/BI28,1),IF(BI28="","",0))</f>
        <v>1000</v>
      </c>
      <c r="BM28" s="114">
        <f aca="true" t="shared" si="119" ref="BM28:BM43">IF(BL28&lt;&gt;"",BL28-BK28,-BK28)</f>
        <v>1000</v>
      </c>
      <c r="BN28" s="115">
        <f ca="1">IF(OR(BI28&lt;&gt;"",BK28&lt;&gt;""),RANK(BM28,BM$11:INDIRECT(BM$7,FALSE)),"")</f>
        <v>1</v>
      </c>
      <c r="BO28" s="116"/>
      <c r="BP28" s="117">
        <f t="shared" si="8"/>
        <v>3795.4</v>
      </c>
      <c r="BQ28" s="120">
        <f>IF(AND($F$8&lt;5,BP28&lt;&gt;""),HLOOKUP(MATCH(ES28,EZ28:FC28,0),Discards,1,FALSE),"")</f>
      </c>
      <c r="BR28" s="117">
        <f aca="true" t="shared" si="120" ref="BR28:BR43">IF(OR(BI28&lt;&gt;"",BK28&lt;&gt;""),BP28,0)</f>
        <v>3795.4</v>
      </c>
      <c r="BS28" s="118">
        <f ca="1">IF(OR(BI28&lt;&gt;"",BK28&lt;&gt;""),RANK(BR28,BR$11:INDIRECT(BR$7,FALSE)),"")</f>
        <v>1</v>
      </c>
      <c r="BT28" s="119"/>
      <c r="BU28" s="5">
        <v>45.73</v>
      </c>
      <c r="BV28" s="113">
        <f t="shared" si="97"/>
        <v>45.73</v>
      </c>
      <c r="BW28" s="21"/>
      <c r="BX28" s="114">
        <f aca="true" t="shared" si="121" ref="BX28:BX43">IF(BU28&gt;0,ROUND((1000*BW$5)/BU28,1),IF(BU28="","",0))</f>
        <v>1000</v>
      </c>
      <c r="BY28" s="114">
        <f aca="true" t="shared" si="122" ref="BY28:BY43">IF(BX28&lt;&gt;"",BX28-BW28,-BW28)</f>
        <v>1000</v>
      </c>
      <c r="BZ28" s="115">
        <f ca="1">IF(OR(BU28&lt;&gt;"",BW28&lt;&gt;""),RANK(BY28,BY$11:INDIRECT(BY$7,FALSE)),"")</f>
        <v>1</v>
      </c>
      <c r="CA28" s="116"/>
      <c r="CB28" s="117">
        <f t="shared" si="10"/>
        <v>3933.8999999999996</v>
      </c>
      <c r="CC28" s="120">
        <f>IF(AND($F$8&lt;6,CB28&lt;&gt;""),HLOOKUP(MATCH(ET28,EZ28:FD28,0),Discards,1,FALSE),"")</f>
        <v>3</v>
      </c>
      <c r="CD28" s="117">
        <f aca="true" t="shared" si="123" ref="CD28:CD43">IF(OR(BU28&lt;&gt;"",BW28&lt;&gt;""),CB28,0)</f>
        <v>3933.8999999999996</v>
      </c>
      <c r="CE28" s="118">
        <f ca="1">IF(OR(BU28&lt;&gt;"",BW28&lt;&gt;""),RANK(CD28,CD$11:INDIRECT(CD$7,FALSE)),"")</f>
        <v>1</v>
      </c>
      <c r="CF28" s="119"/>
      <c r="CG28" s="5">
        <v>53.41</v>
      </c>
      <c r="CH28" s="113">
        <f t="shared" si="98"/>
        <v>53.41</v>
      </c>
      <c r="CI28" s="21"/>
      <c r="CJ28" s="114">
        <f aca="true" t="shared" si="124" ref="CJ28:CJ43">IF(CG28&gt;0,ROUND((1000*CI$5)/CG28,1),IF(CG28="","",0))</f>
        <v>924</v>
      </c>
      <c r="CK28" s="114">
        <f aca="true" t="shared" si="125" ref="CK28:CK43">IF(CJ28&lt;&gt;"",CJ28-CI28,-CI28)</f>
        <v>924</v>
      </c>
      <c r="CL28" s="115">
        <f ca="1">IF(OR(CG28&lt;&gt;"",CI28&lt;&gt;""),RANK(CK28,CK$11:INDIRECT(CK$7,FALSE)),"")</f>
        <v>5</v>
      </c>
      <c r="CM28" s="116"/>
      <c r="CN28" s="117">
        <f t="shared" si="12"/>
        <v>4857.9</v>
      </c>
      <c r="CO28" s="120">
        <f>IF(AND($F$8&lt;7,CN28&lt;&gt;""),HLOOKUP(MATCH(EU28,EZ28:FE28,0),Discards,1,FALSE),"")</f>
        <v>3</v>
      </c>
      <c r="CP28" s="117">
        <f aca="true" t="shared" si="126" ref="CP28:CP43">IF(OR(CG28&lt;&gt;"",CI28&lt;&gt;""),CN28,0)</f>
        <v>4857.9</v>
      </c>
      <c r="CQ28" s="118">
        <f ca="1">IF(OR(CG28&lt;&gt;"",CI28&lt;&gt;""),RANK(CP28,CP$11:INDIRECT(CP$7,FALSE)),"")</f>
        <v>1</v>
      </c>
      <c r="CR28" s="119"/>
      <c r="CS28" s="5">
        <v>39.98</v>
      </c>
      <c r="CT28" s="113">
        <f t="shared" si="99"/>
        <v>39.98</v>
      </c>
      <c r="CU28" s="21"/>
      <c r="CV28" s="114">
        <f aca="true" t="shared" si="127" ref="CV28:CV43">IF(CS28&gt;0,ROUND((1000*CU$5)/CS28,1),IF(CS28="","",0))</f>
        <v>1000</v>
      </c>
      <c r="CW28" s="114">
        <f aca="true" t="shared" si="128" ref="CW28:CW43">IF(CV28&lt;&gt;"",CV28-CU28,-CU28)</f>
        <v>1000</v>
      </c>
      <c r="CX28" s="115">
        <f ca="1">IF(OR(CS28&lt;&gt;"",CU28&lt;&gt;""),RANK(CW28,CW$11:INDIRECT(CW$7,FALSE)),"")</f>
        <v>1</v>
      </c>
      <c r="CY28" s="116"/>
      <c r="CZ28" s="117">
        <f t="shared" si="14"/>
        <v>5857.9</v>
      </c>
      <c r="DA28" s="120">
        <f>IF(AND($F$8&lt;8,CZ28&lt;&gt;""),HLOOKUP(MATCH(EV28,EZ28:FF28,0),Discards,1,FALSE),"")</f>
        <v>3</v>
      </c>
      <c r="DB28" s="117">
        <f aca="true" t="shared" si="129" ref="DB28:DB43">IF(OR(CS28&lt;&gt;"",CU28&lt;&gt;""),CZ28,0)</f>
        <v>5857.9</v>
      </c>
      <c r="DC28" s="118">
        <f ca="1">IF(OR(CS28&lt;&gt;"",CU28&lt;&gt;""),RANK(DB28,DB$11:INDIRECT(DB$7,FALSE)),"")</f>
        <v>1</v>
      </c>
      <c r="DD28" s="119"/>
      <c r="DE28" s="5">
        <v>53.9</v>
      </c>
      <c r="DF28" s="113">
        <f t="shared" si="100"/>
        <v>53.9</v>
      </c>
      <c r="DG28" s="21"/>
      <c r="DH28" s="114">
        <f aca="true" t="shared" si="130" ref="DH28:DH43">IF(DE28&gt;0,ROUND((1000*DG$5)/DE28,1),IF(DE28="","",0))</f>
        <v>800.6</v>
      </c>
      <c r="DI28" s="114">
        <f aca="true" t="shared" si="131" ref="DI28:DI43">IF(DH28&lt;&gt;"",DH28-DG28,-DG28)</f>
        <v>800.6</v>
      </c>
      <c r="DJ28" s="115">
        <f ca="1">IF(OR(DE28&lt;&gt;"",DG28&lt;&gt;""),RANK(DI28,DI$11:INDIRECT(DI$7,FALSE)),"")</f>
        <v>14</v>
      </c>
      <c r="DK28" s="116"/>
      <c r="DL28" s="117">
        <f t="shared" si="16"/>
        <v>6719.4</v>
      </c>
      <c r="DM28" s="120">
        <f>IF(AND($F$8&lt;9,DL28&lt;&gt;""),HLOOKUP(MATCH(EW28,EZ28:FG28,0),Discards,1,FALSE),"")</f>
        <v>8</v>
      </c>
      <c r="DN28" s="117">
        <f aca="true" t="shared" si="132" ref="DN28:DN43">IF(OR(DE28&lt;&gt;"",DG28&lt;&gt;""),DL28,0)</f>
        <v>6719.4</v>
      </c>
      <c r="DO28" s="118">
        <f ca="1">IF(OR(DE28&lt;&gt;"",DG28&lt;&gt;""),RANK(DN28,DN$11:INDIRECT(DN$7,FALSE)),"")</f>
        <v>1</v>
      </c>
      <c r="DP28" s="119"/>
      <c r="DQ28" s="5">
        <v>45.02</v>
      </c>
      <c r="DR28" s="113">
        <f t="shared" si="101"/>
        <v>45.02</v>
      </c>
      <c r="DS28" s="21"/>
      <c r="DT28" s="114">
        <f aca="true" t="shared" si="133" ref="DT28:DT43">IF(DQ28&gt;0,ROUND((1000*DS$5)/DQ28,1),IF(DQ28="","",0))</f>
        <v>967.6</v>
      </c>
      <c r="DU28" s="114">
        <f aca="true" t="shared" si="134" ref="DU28:DU43">IF(DT28&lt;&gt;"",DT28-DS28,-DS28)</f>
        <v>967.6</v>
      </c>
      <c r="DV28" s="115">
        <f ca="1">IF(OR(DQ28&lt;&gt;"",DS28&lt;&gt;""),RANK(DU28,DU$11:INDIRECT(DU$7,FALSE)),"")</f>
        <v>4</v>
      </c>
      <c r="DW28" s="116"/>
      <c r="DX28" s="117">
        <f t="shared" si="18"/>
        <v>7687</v>
      </c>
      <c r="DY28" s="120">
        <f>IF(AND($F$8&lt;10,DX28&lt;&gt;""),HLOOKUP(MATCH(EX28,EZ28:FH28,0),Discards,1,FALSE),"")</f>
        <v>8</v>
      </c>
      <c r="DZ28" s="117">
        <f aca="true" t="shared" si="135" ref="DZ28:DZ43">IF(OR(DQ28&lt;&gt;"",DS28&lt;&gt;""),DX28,0)</f>
        <v>7687</v>
      </c>
      <c r="EA28" s="118">
        <f ca="1">IF(OR(DQ28&lt;&gt;"",DS28&lt;&gt;""),RANK(DZ28,DZ$11:INDIRECT(DZ$7,FALSE)),"")</f>
        <v>1</v>
      </c>
      <c r="EB28" s="119"/>
      <c r="EC28" s="5"/>
      <c r="ED28" s="113">
        <f t="shared" si="102"/>
      </c>
      <c r="EE28" s="21"/>
      <c r="EF28" s="114">
        <f aca="true" t="shared" si="136" ref="EF28:EF43">IF(EC28&gt;0,ROUND((1000*EE$5)/EC28,1),IF(EC28="","",0))</f>
      </c>
      <c r="EG28" s="114">
        <f aca="true" t="shared" si="137" ref="EG28:EG43">IF(EF28&lt;&gt;"",EF28-EE28,-EE28)</f>
        <v>0</v>
      </c>
      <c r="EH28" s="115">
        <f ca="1">IF(OR(EC28&lt;&gt;"",EE28&lt;&gt;""),RANK(EG28,EG$11:INDIRECT(EG$7,FALSE)),"")</f>
      </c>
      <c r="EI28" s="116"/>
      <c r="EJ28" s="117">
        <f t="shared" si="20"/>
      </c>
      <c r="EK28" s="120">
        <f>IF(AND($F$8&lt;11,EJ28&lt;&gt;""),HLOOKUP(MATCH(EY28,EZ28:FI28,0),Discards,1,FALSE),"")</f>
      </c>
      <c r="EL28" s="117">
        <f aca="true" t="shared" si="138" ref="EL28:EL43">IF(OR(EC28&lt;&gt;"",EE28&lt;&gt;""),EJ28,0)</f>
        <v>0</v>
      </c>
      <c r="EM28" s="118">
        <f ca="1">IF(OR(EC28&lt;&gt;"",EE28&lt;&gt;""),RANK(EL28,EL$11:INDIRECT(EL$7,FALSE)),"")</f>
      </c>
      <c r="EN28" s="121"/>
      <c r="EP28" s="112">
        <f aca="true" t="shared" si="139" ref="EP28:EP43">IF(C28&lt;&gt;"",1,0)</f>
        <v>1</v>
      </c>
      <c r="EQ28" s="28">
        <f>MIN($EZ28:FA28)</f>
        <v>933.9</v>
      </c>
      <c r="ER28" s="28">
        <f>MIN($EZ28:FB28)</f>
        <v>861.5</v>
      </c>
      <c r="ES28" s="28">
        <f>MIN($EZ28:FC28)</f>
        <v>861.5</v>
      </c>
      <c r="ET28" s="28">
        <f>MIN($EZ28:FD28)</f>
        <v>861.5</v>
      </c>
      <c r="EU28" s="28">
        <f>MIN($EZ28:FE28)</f>
        <v>861.5</v>
      </c>
      <c r="EV28" s="28">
        <f>MIN($EZ28:FF28)</f>
        <v>861.5</v>
      </c>
      <c r="EW28" s="28">
        <f>MIN($EZ28:FG28)</f>
        <v>800.6</v>
      </c>
      <c r="EX28" s="28">
        <f>MIN($EZ28:FH28)</f>
        <v>800.6</v>
      </c>
      <c r="EY28" s="28">
        <f>MIN($EZ28:FI28)</f>
        <v>800.6</v>
      </c>
      <c r="EZ28" s="28">
        <f t="shared" si="21"/>
        <v>933.9</v>
      </c>
      <c r="FA28" s="28">
        <f t="shared" si="22"/>
        <v>1000</v>
      </c>
      <c r="FB28" s="28">
        <f t="shared" si="23"/>
        <v>861.5</v>
      </c>
      <c r="FC28" s="28">
        <f t="shared" si="24"/>
        <v>1000</v>
      </c>
      <c r="FD28" s="28">
        <f t="shared" si="25"/>
        <v>1000</v>
      </c>
      <c r="FE28" s="28">
        <f t="shared" si="26"/>
        <v>924</v>
      </c>
      <c r="FF28" s="28">
        <f t="shared" si="27"/>
        <v>1000</v>
      </c>
      <c r="FG28" s="28">
        <f t="shared" si="28"/>
        <v>800.6</v>
      </c>
      <c r="FH28" s="28">
        <f t="shared" si="29"/>
        <v>967.6</v>
      </c>
      <c r="FI28" s="28">
        <f t="shared" si="30"/>
      </c>
      <c r="FL28" s="26">
        <f aca="true" t="shared" si="140" ref="FL28:FL43">IF(H28&lt;&gt;"",(CODE(MID(H28,1,1))*1000)*1000,255000000)</f>
        <v>255000000</v>
      </c>
      <c r="FM28" s="26">
        <f aca="true" t="shared" si="141" ref="FM28:FM43">IF(H28&lt;&gt;"",CODE(MID(H28,2,1))*1000,255000)</f>
        <v>255000</v>
      </c>
      <c r="FN28" s="26">
        <f aca="true" t="shared" si="142" ref="FN28:FN43">IF(H28&lt;&gt;"",CODE(MID(H28,3,1)),255)</f>
        <v>255</v>
      </c>
      <c r="FO28" s="26">
        <f>IF(C28&lt;&gt;"",SUM(FL28:FN28),0)</f>
        <v>255255255</v>
      </c>
      <c r="FP28" s="26">
        <f ca="1">IF(FO28&gt;0,SMALL($FO$11:INDIRECT($FO$7,FALSE),A28),0)</f>
        <v>255255255</v>
      </c>
      <c r="FQ28" s="26">
        <f aca="true" t="shared" si="143" ref="FQ28:FQ43">INT(FP28/1000000)</f>
        <v>255</v>
      </c>
      <c r="FR28" s="26">
        <f aca="true" t="shared" si="144" ref="FR28:FR43">INT(FP28/1000)-FQ28*1000</f>
        <v>255</v>
      </c>
      <c r="FS28" s="26">
        <f aca="true" t="shared" si="145" ref="FS28:FS43">FP28-FQ28*1000000-FR28*1000</f>
        <v>255</v>
      </c>
      <c r="FT28" s="26">
        <f aca="true" t="shared" si="146" ref="FT28:FT43">IF(FP28=255255255,"",IF(FP28&gt;0,CHAR(FQ28)&amp;CHAR(FR28)&amp;CHAR(FS28),""))</f>
      </c>
      <c r="FU28" s="26">
        <f aca="true" t="shared" si="147" ref="FU28:FU43">COUNTIF($FT$11:$FT$34,FT28)</f>
        <v>24</v>
      </c>
      <c r="FV28" s="28">
        <f t="shared" si="31"/>
      </c>
      <c r="FW28" s="26">
        <f t="shared" si="92"/>
      </c>
      <c r="FX28" s="28">
        <f aca="true" t="shared" si="148" ref="FX28:FX43">IF(FW28&lt;&gt;"",FV28,"")</f>
      </c>
      <c r="FY28" s="26">
        <f ca="1">IF(FX28&lt;&gt;"",RANK(FX28,FX$11:INDIRECT(FX$7,FALSE)),"")</f>
      </c>
      <c r="FZ28" s="26">
        <f aca="true" t="shared" si="149" ref="FZ28:FZ43">IF(H28&lt;&gt;"",MATCH(H28,$FW$11:$FW$62,0),"")</f>
      </c>
      <c r="GA28" s="26">
        <f t="shared" si="81"/>
      </c>
      <c r="GC28" s="27">
        <f t="shared" si="32"/>
      </c>
      <c r="GD28" s="27">
        <f t="shared" si="33"/>
      </c>
      <c r="GE28" s="27">
        <f t="shared" si="82"/>
      </c>
      <c r="GF28" s="27">
        <f aca="true" t="shared" si="150" ref="GF28:GF43">IF(A28&lt;=$GF$8,LARGE($GE$11:$GE$62,A28),"")</f>
      </c>
      <c r="GG28" s="27">
        <f aca="true" t="shared" si="151" ref="GG28:GG43">IF(GF28&lt;&gt;"",VALUE(RIGHT(GF28,9)),0)</f>
        <v>0</v>
      </c>
      <c r="GH28" s="26">
        <f aca="true" t="shared" si="152" ref="GH28:GH43">INT(GG28/1000000)</f>
        <v>0</v>
      </c>
      <c r="GI28" s="26">
        <f aca="true" t="shared" si="153" ref="GI28:GI43">INT(GG28/1000)-GH28*1000</f>
        <v>0</v>
      </c>
      <c r="GJ28" s="26">
        <f aca="true" t="shared" si="154" ref="GJ28:GJ43">GG28-GH28*1000000-GI28*1000</f>
        <v>0</v>
      </c>
      <c r="GK28" s="26">
        <f aca="true" t="shared" si="155" ref="GK28:GK43">IF(GG28=255255255,"",IF(GG28&gt;0,CHAR(GH28)&amp;CHAR(GI28)&amp;CHAR(GJ28),""))</f>
      </c>
      <c r="GL28" s="28">
        <f aca="true" t="shared" si="156" ref="GL28:GL43">IF(GK28&lt;&gt;"",(GF28-GG28)/10000000000-1000,"")</f>
      </c>
      <c r="GM28" s="26">
        <f aca="true" t="shared" si="157" ref="GM28:GM43">IF(GL28&lt;&gt;"",RANK(GL28,$GL$11:$GL$62),"")</f>
      </c>
    </row>
    <row r="29" spans="1:195" ht="12.75">
      <c r="A29" s="16">
        <f aca="true" t="shared" si="158" ref="A29:A44">A28+1</f>
        <v>19</v>
      </c>
      <c r="B29" s="17"/>
      <c r="C29" s="18" t="s">
        <v>137</v>
      </c>
      <c r="D29" s="19" t="s">
        <v>138</v>
      </c>
      <c r="E29" s="18" t="s">
        <v>139</v>
      </c>
      <c r="F29" s="18"/>
      <c r="G29" s="148"/>
      <c r="H29" s="122">
        <f t="shared" si="103"/>
      </c>
      <c r="I29" s="30">
        <f t="shared" si="104"/>
        <v>6401.200000000001</v>
      </c>
      <c r="J29" s="30">
        <f>AD29+AO29+BA29+BM29+BY29+CK29+CW29+DI29+DU29+EG29-(MIN(EZ29:FI29)*$EY$2)</f>
        <v>6401.200000000001</v>
      </c>
      <c r="K29" s="139">
        <f ca="1">IF(I29&lt;&gt;"",RANK(I29,J$11:INDIRECT(J$7,FALSE)),"")</f>
        <v>22</v>
      </c>
      <c r="L29" s="102">
        <f t="shared" si="105"/>
      </c>
      <c r="M29" s="102">
        <f t="shared" si="106"/>
        <v>0</v>
      </c>
      <c r="N29" s="51">
        <f t="shared" si="1"/>
      </c>
      <c r="O29" s="150"/>
      <c r="P29" s="151">
        <f t="shared" si="38"/>
      </c>
      <c r="Q29" s="152"/>
      <c r="R29" s="153">
        <f t="shared" si="39"/>
      </c>
      <c r="S29" s="153">
        <f t="shared" si="40"/>
        <v>0</v>
      </c>
      <c r="T29" s="154">
        <f ca="1">IF(OR(O29&lt;&gt;"",Q29&lt;&gt;""),RANK(S29,S$11:INDIRECT(S$7,FALSE)),"")</f>
      </c>
      <c r="U29" s="155"/>
      <c r="V29" s="156"/>
      <c r="W29" s="156"/>
      <c r="X29" s="157"/>
      <c r="Y29" s="158"/>
      <c r="Z29" s="227">
        <v>67.73</v>
      </c>
      <c r="AA29" s="103">
        <f t="shared" si="107"/>
        <v>67.73</v>
      </c>
      <c r="AB29" s="20"/>
      <c r="AC29" s="104">
        <f t="shared" si="108"/>
        <v>807.6</v>
      </c>
      <c r="AD29" s="104">
        <f t="shared" si="109"/>
        <v>807.6</v>
      </c>
      <c r="AE29" s="105">
        <f ca="1">IF(OR(Z29&lt;&gt;"",AB29&lt;&gt;""),RANK(AD29,AD$11:INDIRECT(AD$7,FALSE)),"")</f>
        <v>19</v>
      </c>
      <c r="AF29" s="106"/>
      <c r="AG29" s="107">
        <f t="shared" si="110"/>
        <v>807.6</v>
      </c>
      <c r="AH29" s="107">
        <f t="shared" si="111"/>
        <v>807.6</v>
      </c>
      <c r="AI29" s="108">
        <f ca="1">IF(OR(Z29&lt;&gt;"",AB29&lt;&gt;""),RANK(AH29,AH$11:INDIRECT(AH$7,FALSE)),"")</f>
        <v>19</v>
      </c>
      <c r="AJ29" s="109"/>
      <c r="AK29" s="4">
        <v>62.93</v>
      </c>
      <c r="AL29" s="103">
        <f t="shared" si="112"/>
        <v>62.93</v>
      </c>
      <c r="AM29" s="20"/>
      <c r="AN29" s="104">
        <f t="shared" si="113"/>
        <v>828.4</v>
      </c>
      <c r="AO29" s="104">
        <f t="shared" si="114"/>
        <v>828.4</v>
      </c>
      <c r="AP29" s="105">
        <f ca="1">IF(OR(AK29&lt;&gt;"",AM29&lt;&gt;""),RANK(AO29,AO$11:INDIRECT(AO$7,FALSE)),"")</f>
        <v>17</v>
      </c>
      <c r="AQ29" s="106"/>
      <c r="AR29" s="107">
        <f t="shared" si="3"/>
        <v>1636</v>
      </c>
      <c r="AS29" s="110">
        <f>IF(AND($F$8&lt;3,AR29&lt;&gt;""),HLOOKUP(MATCH(EQ29,EZ29:FA29,0),Discards,1,FALSE),"")</f>
      </c>
      <c r="AT29" s="107">
        <f t="shared" si="4"/>
        <v>1636</v>
      </c>
      <c r="AU29" s="108">
        <f ca="1">IF(OR(AK29&lt;&gt;"",AM29&lt;&gt;""),RANK(AT29,AT$11:INDIRECT(AT$7,FALSE)),"")</f>
        <v>20</v>
      </c>
      <c r="AV29" s="109"/>
      <c r="AW29" s="4">
        <v>58.27</v>
      </c>
      <c r="AX29" s="103">
        <f t="shared" si="95"/>
        <v>58.27</v>
      </c>
      <c r="AY29" s="20"/>
      <c r="AZ29" s="104">
        <f t="shared" si="115"/>
        <v>809.3</v>
      </c>
      <c r="BA29" s="104">
        <f t="shared" si="116"/>
        <v>809.3</v>
      </c>
      <c r="BB29" s="105">
        <f ca="1">IF(OR(AW29&lt;&gt;"",AY29&lt;&gt;""),RANK(BA29,BA$11:INDIRECT(BA$7,FALSE)),"")</f>
        <v>16</v>
      </c>
      <c r="BC29" s="106"/>
      <c r="BD29" s="107">
        <f t="shared" si="6"/>
        <v>2445.3</v>
      </c>
      <c r="BE29" s="110">
        <f>IF(AND($F$8&lt;4,BD29&lt;&gt;""),HLOOKUP(MATCH(ER29,EZ29:FB29,0),Discards,1,FALSE),"")</f>
      </c>
      <c r="BF29" s="107">
        <f t="shared" si="117"/>
        <v>2445.3</v>
      </c>
      <c r="BG29" s="108">
        <f ca="1">IF(OR(AW29&lt;&gt;"",AY29&lt;&gt;""),RANK(BF29,BF$11:INDIRECT(BF$7,FALSE)),"")</f>
        <v>18</v>
      </c>
      <c r="BH29" s="109"/>
      <c r="BI29" s="4">
        <v>61.15</v>
      </c>
      <c r="BJ29" s="103">
        <f t="shared" si="96"/>
        <v>61.15</v>
      </c>
      <c r="BK29" s="20"/>
      <c r="BL29" s="104">
        <f t="shared" si="118"/>
        <v>802.8</v>
      </c>
      <c r="BM29" s="104">
        <f t="shared" si="119"/>
        <v>802.8</v>
      </c>
      <c r="BN29" s="105">
        <f ca="1">IF(OR(BI29&lt;&gt;"",BK29&lt;&gt;""),RANK(BM29,BM$11:INDIRECT(BM$7,FALSE)),"")</f>
        <v>23</v>
      </c>
      <c r="BO29" s="106"/>
      <c r="BP29" s="107">
        <f t="shared" si="8"/>
        <v>3248.1000000000004</v>
      </c>
      <c r="BQ29" s="110">
        <f>IF(AND($F$8&lt;5,BP29&lt;&gt;""),HLOOKUP(MATCH(ES29,EZ29:FC29,0),Discards,1,FALSE),"")</f>
      </c>
      <c r="BR29" s="107">
        <f t="shared" si="120"/>
        <v>3248.1000000000004</v>
      </c>
      <c r="BS29" s="108">
        <f ca="1">IF(OR(BI29&lt;&gt;"",BK29&lt;&gt;""),RANK(BR29,BR$11:INDIRECT(BR$7,FALSE)),"")</f>
        <v>20</v>
      </c>
      <c r="BT29" s="109"/>
      <c r="BU29" s="4">
        <v>58.54</v>
      </c>
      <c r="BV29" s="103">
        <f t="shared" si="97"/>
        <v>58.54</v>
      </c>
      <c r="BW29" s="20"/>
      <c r="BX29" s="104">
        <f t="shared" si="121"/>
        <v>781.2</v>
      </c>
      <c r="BY29" s="104">
        <f t="shared" si="122"/>
        <v>781.2</v>
      </c>
      <c r="BZ29" s="105">
        <f ca="1">IF(OR(BU29&lt;&gt;"",BW29&lt;&gt;""),RANK(BY29,BY$11:INDIRECT(BY$7,FALSE)),"")</f>
        <v>19</v>
      </c>
      <c r="CA29" s="106"/>
      <c r="CB29" s="107">
        <f t="shared" si="10"/>
        <v>3248.1000000000004</v>
      </c>
      <c r="CC29" s="110">
        <f>IF(AND($F$8&lt;6,CB29&lt;&gt;""),HLOOKUP(MATCH(ET29,EZ29:FD29,0),Discards,1,FALSE),"")</f>
        <v>5</v>
      </c>
      <c r="CD29" s="107">
        <f t="shared" si="123"/>
        <v>3248.1000000000004</v>
      </c>
      <c r="CE29" s="108">
        <f ca="1">IF(OR(BU29&lt;&gt;"",BW29&lt;&gt;""),RANK(CD29,CD$11:INDIRECT(CD$7,FALSE)),"")</f>
        <v>22</v>
      </c>
      <c r="CF29" s="109"/>
      <c r="CG29" s="4">
        <v>67.53</v>
      </c>
      <c r="CH29" s="103">
        <f t="shared" si="98"/>
        <v>67.53</v>
      </c>
      <c r="CI29" s="20"/>
      <c r="CJ29" s="104">
        <f t="shared" si="124"/>
        <v>730.8</v>
      </c>
      <c r="CK29" s="104">
        <f t="shared" si="125"/>
        <v>730.8</v>
      </c>
      <c r="CL29" s="105">
        <f ca="1">IF(OR(CG29&lt;&gt;"",CI29&lt;&gt;""),RANK(CK29,CK$11:INDIRECT(CK$7,FALSE)),"")</f>
        <v>24</v>
      </c>
      <c r="CM29" s="106"/>
      <c r="CN29" s="107">
        <f t="shared" si="12"/>
        <v>4029.3</v>
      </c>
      <c r="CO29" s="110">
        <f>IF(AND($F$8&lt;7,CN29&lt;&gt;""),HLOOKUP(MATCH(EU29,EZ29:FE29,0),Discards,1,FALSE),"")</f>
        <v>6</v>
      </c>
      <c r="CP29" s="107">
        <f t="shared" si="126"/>
        <v>4029.3</v>
      </c>
      <c r="CQ29" s="108">
        <f ca="1">IF(OR(CG29&lt;&gt;"",CI29&lt;&gt;""),RANK(CP29,CP$11:INDIRECT(CP$7,FALSE)),"")</f>
        <v>22</v>
      </c>
      <c r="CR29" s="109"/>
      <c r="CS29" s="4">
        <v>57.16</v>
      </c>
      <c r="CT29" s="103">
        <f t="shared" si="99"/>
        <v>57.16</v>
      </c>
      <c r="CU29" s="20"/>
      <c r="CV29" s="104">
        <f t="shared" si="127"/>
        <v>699.4</v>
      </c>
      <c r="CW29" s="104">
        <f t="shared" si="128"/>
        <v>699.4</v>
      </c>
      <c r="CX29" s="105">
        <f ca="1">IF(OR(CS29&lt;&gt;"",CU29&lt;&gt;""),RANK(CW29,CW$11:INDIRECT(CW$7,FALSE)),"")</f>
        <v>17</v>
      </c>
      <c r="CY29" s="106"/>
      <c r="CZ29" s="107">
        <f t="shared" si="14"/>
        <v>4760.1</v>
      </c>
      <c r="DA29" s="110">
        <f>IF(AND($F$8&lt;8,CZ29&lt;&gt;""),HLOOKUP(MATCH(EV29,EZ29:FF29,0),Discards,1,FALSE),"")</f>
        <v>7</v>
      </c>
      <c r="DB29" s="107">
        <f t="shared" si="129"/>
        <v>4760.1</v>
      </c>
      <c r="DC29" s="108">
        <f ca="1">IF(OR(CS29&lt;&gt;"",CU29&lt;&gt;""),RANK(DB29,DB$11:INDIRECT(DB$7,FALSE)),"")</f>
        <v>23</v>
      </c>
      <c r="DD29" s="109"/>
      <c r="DE29" s="4">
        <v>56.37</v>
      </c>
      <c r="DF29" s="103">
        <f t="shared" si="100"/>
        <v>56.37</v>
      </c>
      <c r="DG29" s="20"/>
      <c r="DH29" s="104">
        <f t="shared" si="130"/>
        <v>765.5</v>
      </c>
      <c r="DI29" s="104">
        <f t="shared" si="131"/>
        <v>765.5</v>
      </c>
      <c r="DJ29" s="105">
        <f ca="1">IF(OR(DE29&lt;&gt;"",DG29&lt;&gt;""),RANK(DI29,DI$11:INDIRECT(DI$7,FALSE)),"")</f>
        <v>22</v>
      </c>
      <c r="DK29" s="106"/>
      <c r="DL29" s="107">
        <f t="shared" si="16"/>
        <v>5525.6</v>
      </c>
      <c r="DM29" s="110">
        <f>IF(AND($F$8&lt;9,DL29&lt;&gt;""),HLOOKUP(MATCH(EW29,EZ29:FG29,0),Discards,1,FALSE),"")</f>
        <v>7</v>
      </c>
      <c r="DN29" s="107">
        <f t="shared" si="132"/>
        <v>5525.6</v>
      </c>
      <c r="DO29" s="108">
        <f ca="1">IF(OR(DE29&lt;&gt;"",DG29&lt;&gt;""),RANK(DN29,DN$11:INDIRECT(DN$7,FALSE)),"")</f>
        <v>23</v>
      </c>
      <c r="DP29" s="109"/>
      <c r="DQ29" s="4">
        <v>49.75</v>
      </c>
      <c r="DR29" s="103">
        <f t="shared" si="101"/>
        <v>49.75</v>
      </c>
      <c r="DS29" s="20"/>
      <c r="DT29" s="104">
        <f t="shared" si="133"/>
        <v>875.6</v>
      </c>
      <c r="DU29" s="104">
        <f t="shared" si="134"/>
        <v>875.6</v>
      </c>
      <c r="DV29" s="105">
        <f ca="1">IF(OR(DQ29&lt;&gt;"",DS29&lt;&gt;""),RANK(DU29,DU$11:INDIRECT(DU$7,FALSE)),"")</f>
        <v>9</v>
      </c>
      <c r="DW29" s="106"/>
      <c r="DX29" s="107">
        <f t="shared" si="18"/>
        <v>6401.200000000001</v>
      </c>
      <c r="DY29" s="110">
        <f>IF(AND($F$8&lt;10,DX29&lt;&gt;""),HLOOKUP(MATCH(EX29,EZ29:FH29,0),Discards,1,FALSE),"")</f>
        <v>7</v>
      </c>
      <c r="DZ29" s="107">
        <f t="shared" si="135"/>
        <v>6401.200000000001</v>
      </c>
      <c r="EA29" s="108">
        <f ca="1">IF(OR(DQ29&lt;&gt;"",DS29&lt;&gt;""),RANK(DZ29,DZ$11:INDIRECT(DZ$7,FALSE)),"")</f>
        <v>22</v>
      </c>
      <c r="EB29" s="109"/>
      <c r="EC29" s="4"/>
      <c r="ED29" s="103">
        <f t="shared" si="102"/>
      </c>
      <c r="EE29" s="20"/>
      <c r="EF29" s="104">
        <f t="shared" si="136"/>
      </c>
      <c r="EG29" s="104">
        <f t="shared" si="137"/>
        <v>0</v>
      </c>
      <c r="EH29" s="105">
        <f ca="1">IF(OR(EC29&lt;&gt;"",EE29&lt;&gt;""),RANK(EG29,EG$11:INDIRECT(EG$7,FALSE)),"")</f>
      </c>
      <c r="EI29" s="106"/>
      <c r="EJ29" s="107">
        <f t="shared" si="20"/>
      </c>
      <c r="EK29" s="110">
        <f>IF(AND($F$8&lt;11,EJ29&lt;&gt;""),HLOOKUP(MATCH(EY29,EZ29:FI29,0),Discards,1,FALSE),"")</f>
      </c>
      <c r="EL29" s="107">
        <f t="shared" si="138"/>
        <v>0</v>
      </c>
      <c r="EM29" s="108">
        <f ca="1">IF(OR(EC29&lt;&gt;"",EE29&lt;&gt;""),RANK(EL29,EL$11:INDIRECT(EL$7,FALSE)),"")</f>
      </c>
      <c r="EN29" s="111"/>
      <c r="EP29" s="112">
        <f t="shared" si="139"/>
        <v>1</v>
      </c>
      <c r="EQ29" s="28">
        <f>MIN($EZ29:FA29)</f>
        <v>807.6</v>
      </c>
      <c r="ER29" s="28">
        <f>MIN($EZ29:FB29)</f>
        <v>807.6</v>
      </c>
      <c r="ES29" s="28">
        <f>MIN($EZ29:FC29)</f>
        <v>802.8</v>
      </c>
      <c r="ET29" s="28">
        <f>MIN($EZ29:FD29)</f>
        <v>781.2</v>
      </c>
      <c r="EU29" s="28">
        <f>MIN($EZ29:FE29)</f>
        <v>730.8</v>
      </c>
      <c r="EV29" s="28">
        <f>MIN($EZ29:FF29)</f>
        <v>699.4</v>
      </c>
      <c r="EW29" s="28">
        <f>MIN($EZ29:FG29)</f>
        <v>699.4</v>
      </c>
      <c r="EX29" s="28">
        <f>MIN($EZ29:FH29)</f>
        <v>699.4</v>
      </c>
      <c r="EY29" s="28">
        <f>MIN($EZ29:FI29)</f>
        <v>699.4</v>
      </c>
      <c r="EZ29" s="28">
        <f t="shared" si="21"/>
        <v>807.6</v>
      </c>
      <c r="FA29" s="28">
        <f t="shared" si="22"/>
        <v>828.4</v>
      </c>
      <c r="FB29" s="28">
        <f t="shared" si="23"/>
        <v>809.3</v>
      </c>
      <c r="FC29" s="28">
        <f t="shared" si="24"/>
        <v>802.8</v>
      </c>
      <c r="FD29" s="28">
        <f t="shared" si="25"/>
        <v>781.2</v>
      </c>
      <c r="FE29" s="28">
        <f t="shared" si="26"/>
        <v>730.8</v>
      </c>
      <c r="FF29" s="28">
        <f t="shared" si="27"/>
        <v>699.4</v>
      </c>
      <c r="FG29" s="28">
        <f t="shared" si="28"/>
        <v>765.5</v>
      </c>
      <c r="FH29" s="28">
        <f t="shared" si="29"/>
        <v>875.6</v>
      </c>
      <c r="FI29" s="28">
        <f t="shared" si="30"/>
      </c>
      <c r="FL29" s="26">
        <f t="shared" si="140"/>
        <v>255000000</v>
      </c>
      <c r="FM29" s="26">
        <f t="shared" si="141"/>
        <v>255000</v>
      </c>
      <c r="FN29" s="26">
        <f t="shared" si="142"/>
        <v>255</v>
      </c>
      <c r="FO29" s="26">
        <f>IF(C29&lt;&gt;"",SUM(FL29:FN29),0)</f>
        <v>255255255</v>
      </c>
      <c r="FP29" s="26">
        <f ca="1">IF(FO29&gt;0,SMALL($FO$11:INDIRECT($FO$7,FALSE),A29),0)</f>
        <v>255255255</v>
      </c>
      <c r="FQ29" s="26">
        <f t="shared" si="143"/>
        <v>255</v>
      </c>
      <c r="FR29" s="26">
        <f t="shared" si="144"/>
        <v>255</v>
      </c>
      <c r="FS29" s="26">
        <f t="shared" si="145"/>
        <v>255</v>
      </c>
      <c r="FT29" s="26">
        <f t="shared" si="146"/>
      </c>
      <c r="FU29" s="26">
        <f t="shared" si="147"/>
        <v>24</v>
      </c>
      <c r="FV29" s="28">
        <f t="shared" si="31"/>
      </c>
      <c r="FW29" s="26">
        <f aca="true" t="shared" si="159" ref="FW29:FW44">IF(FT29&lt;&gt;FT28,FT29,"")</f>
      </c>
      <c r="FX29" s="28">
        <f t="shared" si="148"/>
      </c>
      <c r="FY29" s="26">
        <f ca="1">IF(FX29&lt;&gt;"",RANK(FX29,FX$11:INDIRECT(FX$7,FALSE)),"")</f>
      </c>
      <c r="FZ29" s="26">
        <f t="shared" si="149"/>
      </c>
      <c r="GA29" s="26">
        <f t="shared" si="81"/>
      </c>
      <c r="GC29" s="27">
        <f t="shared" si="32"/>
      </c>
      <c r="GD29" s="27">
        <f t="shared" si="33"/>
      </c>
      <c r="GE29" s="27">
        <f t="shared" si="82"/>
      </c>
      <c r="GF29" s="27">
        <f t="shared" si="150"/>
      </c>
      <c r="GG29" s="27">
        <f t="shared" si="151"/>
        <v>0</v>
      </c>
      <c r="GH29" s="26">
        <f t="shared" si="152"/>
        <v>0</v>
      </c>
      <c r="GI29" s="26">
        <f t="shared" si="153"/>
        <v>0</v>
      </c>
      <c r="GJ29" s="26">
        <f t="shared" si="154"/>
        <v>0</v>
      </c>
      <c r="GK29" s="26">
        <f t="shared" si="155"/>
      </c>
      <c r="GL29" s="28">
        <f t="shared" si="156"/>
      </c>
      <c r="GM29" s="26">
        <f t="shared" si="157"/>
      </c>
    </row>
    <row r="30" spans="1:195" ht="12.75">
      <c r="A30" s="16">
        <f t="shared" si="158"/>
        <v>20</v>
      </c>
      <c r="B30" s="17"/>
      <c r="C30" s="18" t="s">
        <v>140</v>
      </c>
      <c r="D30" s="19" t="s">
        <v>141</v>
      </c>
      <c r="E30" s="18" t="s">
        <v>143</v>
      </c>
      <c r="F30" s="18"/>
      <c r="G30" s="148"/>
      <c r="H30" s="122">
        <f t="shared" si="103"/>
      </c>
      <c r="I30" s="30">
        <f t="shared" si="104"/>
        <v>6642.5999999999985</v>
      </c>
      <c r="J30" s="30">
        <f>AD30+AO30+BA30+BM30+BY30+CK30+CW30+DI30+DU30+EG30-(MIN(EZ30:FI30)*$EY$2)</f>
        <v>6642.5999999999985</v>
      </c>
      <c r="K30" s="139">
        <f ca="1">IF(I30&lt;&gt;"",RANK(I30,J$11:INDIRECT(J$7,FALSE)),"")</f>
        <v>17</v>
      </c>
      <c r="L30" s="102">
        <f t="shared" si="105"/>
      </c>
      <c r="M30" s="102">
        <f t="shared" si="106"/>
        <v>0</v>
      </c>
      <c r="N30" s="51">
        <f t="shared" si="1"/>
      </c>
      <c r="O30" s="150"/>
      <c r="P30" s="151">
        <f t="shared" si="38"/>
      </c>
      <c r="Q30" s="152"/>
      <c r="R30" s="153">
        <f t="shared" si="39"/>
      </c>
      <c r="S30" s="153">
        <f t="shared" si="40"/>
        <v>0</v>
      </c>
      <c r="T30" s="154">
        <f ca="1">IF(OR(O30&lt;&gt;"",Q30&lt;&gt;""),RANK(S30,S$11:INDIRECT(S$7,FALSE)),"")</f>
      </c>
      <c r="U30" s="155"/>
      <c r="V30" s="156"/>
      <c r="W30" s="156"/>
      <c r="X30" s="157"/>
      <c r="Y30" s="158"/>
      <c r="Z30" s="227">
        <v>65.57</v>
      </c>
      <c r="AA30" s="103">
        <f t="shared" si="107"/>
        <v>65.57</v>
      </c>
      <c r="AB30" s="20"/>
      <c r="AC30" s="104">
        <f t="shared" si="108"/>
        <v>834.2</v>
      </c>
      <c r="AD30" s="104">
        <f t="shared" si="109"/>
        <v>834.2</v>
      </c>
      <c r="AE30" s="105">
        <f ca="1">IF(OR(Z30&lt;&gt;"",AB30&lt;&gt;""),RANK(AD30,AD$11:INDIRECT(AD$7,FALSE)),"")</f>
        <v>15</v>
      </c>
      <c r="AF30" s="106"/>
      <c r="AG30" s="107">
        <f t="shared" si="110"/>
        <v>834.2</v>
      </c>
      <c r="AH30" s="107">
        <f t="shared" si="111"/>
        <v>834.2</v>
      </c>
      <c r="AI30" s="108">
        <f ca="1">IF(OR(Z30&lt;&gt;"",AB30&lt;&gt;""),RANK(AH30,AH$11:INDIRECT(AH$7,FALSE)),"")</f>
        <v>15</v>
      </c>
      <c r="AJ30" s="109"/>
      <c r="AK30" s="4">
        <v>58.19</v>
      </c>
      <c r="AL30" s="103">
        <f t="shared" si="112"/>
        <v>58.19</v>
      </c>
      <c r="AM30" s="20"/>
      <c r="AN30" s="104">
        <f t="shared" si="113"/>
        <v>895.9</v>
      </c>
      <c r="AO30" s="104">
        <f t="shared" si="114"/>
        <v>895.9</v>
      </c>
      <c r="AP30" s="105">
        <f ca="1">IF(OR(AK30&lt;&gt;"",AM30&lt;&gt;""),RANK(AO30,AO$11:INDIRECT(AO$7,FALSE)),"")</f>
        <v>6</v>
      </c>
      <c r="AQ30" s="106"/>
      <c r="AR30" s="107">
        <f t="shared" si="3"/>
        <v>1730.1</v>
      </c>
      <c r="AS30" s="110">
        <f>IF(AND($F$8&lt;3,AR30&lt;&gt;""),HLOOKUP(MATCH(EQ30,EZ30:FA30,0),Discards,1,FALSE),"")</f>
      </c>
      <c r="AT30" s="107">
        <f t="shared" si="4"/>
        <v>1730.1</v>
      </c>
      <c r="AU30" s="108">
        <f ca="1">IF(OR(AK30&lt;&gt;"",AM30&lt;&gt;""),RANK(AT30,AT$11:INDIRECT(AT$7,FALSE)),"")</f>
        <v>9</v>
      </c>
      <c r="AV30" s="109"/>
      <c r="AW30" s="4">
        <v>57.41</v>
      </c>
      <c r="AX30" s="103">
        <f t="shared" si="95"/>
        <v>57.41</v>
      </c>
      <c r="AY30" s="20"/>
      <c r="AZ30" s="104">
        <f t="shared" si="115"/>
        <v>821.5</v>
      </c>
      <c r="BA30" s="104">
        <f t="shared" si="116"/>
        <v>821.5</v>
      </c>
      <c r="BB30" s="105">
        <f ca="1">IF(OR(AW30&lt;&gt;"",AY30&lt;&gt;""),RANK(BA30,BA$11:INDIRECT(BA$7,FALSE)),"")</f>
        <v>12</v>
      </c>
      <c r="BC30" s="106"/>
      <c r="BD30" s="107">
        <f t="shared" si="6"/>
        <v>2551.6</v>
      </c>
      <c r="BE30" s="110">
        <f>IF(AND($F$8&lt;4,BD30&lt;&gt;""),HLOOKUP(MATCH(ER30,EZ30:FB30,0),Discards,1,FALSE),"")</f>
      </c>
      <c r="BF30" s="107">
        <f t="shared" si="117"/>
        <v>2551.6</v>
      </c>
      <c r="BG30" s="108">
        <f ca="1">IF(OR(AW30&lt;&gt;"",AY30&lt;&gt;""),RANK(BF30,BF$11:INDIRECT(BF$7,FALSE)),"")</f>
        <v>11</v>
      </c>
      <c r="BH30" s="109"/>
      <c r="BI30" s="4">
        <v>59.12</v>
      </c>
      <c r="BJ30" s="103">
        <f t="shared" si="96"/>
        <v>59.12</v>
      </c>
      <c r="BK30" s="20"/>
      <c r="BL30" s="104">
        <f t="shared" si="118"/>
        <v>830.3</v>
      </c>
      <c r="BM30" s="104">
        <f t="shared" si="119"/>
        <v>830.3</v>
      </c>
      <c r="BN30" s="105">
        <f ca="1">IF(OR(BI30&lt;&gt;"",BK30&lt;&gt;""),RANK(BM30,BM$11:INDIRECT(BM$7,FALSE)),"")</f>
        <v>22</v>
      </c>
      <c r="BO30" s="106"/>
      <c r="BP30" s="107">
        <f t="shared" si="8"/>
        <v>3381.8999999999996</v>
      </c>
      <c r="BQ30" s="110">
        <f>IF(AND($F$8&lt;5,BP30&lt;&gt;""),HLOOKUP(MATCH(ES30,EZ30:FC30,0),Discards,1,FALSE),"")</f>
      </c>
      <c r="BR30" s="107">
        <f t="shared" si="120"/>
        <v>3381.8999999999996</v>
      </c>
      <c r="BS30" s="108">
        <f ca="1">IF(OR(BI30&lt;&gt;"",BK30&lt;&gt;""),RANK(BR30,BR$11:INDIRECT(BR$7,FALSE)),"")</f>
        <v>15</v>
      </c>
      <c r="BT30" s="109"/>
      <c r="BU30" s="4">
        <v>61.64</v>
      </c>
      <c r="BV30" s="103">
        <f t="shared" si="97"/>
        <v>61.64</v>
      </c>
      <c r="BW30" s="20"/>
      <c r="BX30" s="104">
        <f t="shared" si="121"/>
        <v>741.9</v>
      </c>
      <c r="BY30" s="104">
        <f t="shared" si="122"/>
        <v>741.9</v>
      </c>
      <c r="BZ30" s="105">
        <f ca="1">IF(OR(BU30&lt;&gt;"",BW30&lt;&gt;""),RANK(BY30,BY$11:INDIRECT(BY$7,FALSE)),"")</f>
        <v>23</v>
      </c>
      <c r="CA30" s="106"/>
      <c r="CB30" s="107">
        <f t="shared" si="10"/>
        <v>3381.899999999999</v>
      </c>
      <c r="CC30" s="110">
        <f>IF(AND($F$8&lt;6,CB30&lt;&gt;""),HLOOKUP(MATCH(ET30,EZ30:FD30,0),Discards,1,FALSE),"")</f>
        <v>5</v>
      </c>
      <c r="CD30" s="107">
        <f t="shared" si="123"/>
        <v>3381.899999999999</v>
      </c>
      <c r="CE30" s="108">
        <f ca="1">IF(OR(BU30&lt;&gt;"",BW30&lt;&gt;""),RANK(CD30,CD$11:INDIRECT(CD$7,FALSE)),"")</f>
        <v>18</v>
      </c>
      <c r="CF30" s="109"/>
      <c r="CG30" s="4">
        <v>62.61</v>
      </c>
      <c r="CH30" s="103">
        <f t="shared" si="98"/>
        <v>62.61</v>
      </c>
      <c r="CI30" s="20"/>
      <c r="CJ30" s="104">
        <f t="shared" si="124"/>
        <v>788.2</v>
      </c>
      <c r="CK30" s="104">
        <f t="shared" si="125"/>
        <v>788.2</v>
      </c>
      <c r="CL30" s="105">
        <f ca="1">IF(OR(CG30&lt;&gt;"",CI30&lt;&gt;""),RANK(CK30,CK$11:INDIRECT(CK$7,FALSE)),"")</f>
        <v>19</v>
      </c>
      <c r="CM30" s="106"/>
      <c r="CN30" s="107">
        <f t="shared" si="12"/>
        <v>4170.099999999999</v>
      </c>
      <c r="CO30" s="110">
        <f>IF(AND($F$8&lt;7,CN30&lt;&gt;""),HLOOKUP(MATCH(EU30,EZ30:FE30,0),Discards,1,FALSE),"")</f>
        <v>5</v>
      </c>
      <c r="CP30" s="107">
        <f t="shared" si="126"/>
        <v>4170.099999999999</v>
      </c>
      <c r="CQ30" s="108">
        <f ca="1">IF(OR(CG30&lt;&gt;"",CI30&lt;&gt;""),RANK(CP30,CP$11:INDIRECT(CP$7,FALSE)),"")</f>
        <v>18</v>
      </c>
      <c r="CR30" s="109"/>
      <c r="CS30" s="4">
        <v>55.24</v>
      </c>
      <c r="CT30" s="103">
        <f t="shared" si="99"/>
        <v>55.24</v>
      </c>
      <c r="CU30" s="20"/>
      <c r="CV30" s="104">
        <f t="shared" si="127"/>
        <v>723.8</v>
      </c>
      <c r="CW30" s="104">
        <f t="shared" si="128"/>
        <v>723.8</v>
      </c>
      <c r="CX30" s="105">
        <f ca="1">IF(OR(CS30&lt;&gt;"",CU30&lt;&gt;""),RANK(CW30,CW$11:INDIRECT(CW$7,FALSE)),"")</f>
        <v>15</v>
      </c>
      <c r="CY30" s="106"/>
      <c r="CZ30" s="107">
        <f t="shared" si="14"/>
        <v>4911.999999999999</v>
      </c>
      <c r="DA30" s="110">
        <f>IF(AND($F$8&lt;8,CZ30&lt;&gt;""),HLOOKUP(MATCH(EV30,EZ30:FF30,0),Discards,1,FALSE),"")</f>
        <v>7</v>
      </c>
      <c r="DB30" s="107">
        <f t="shared" si="129"/>
        <v>4911.999999999999</v>
      </c>
      <c r="DC30" s="108">
        <f ca="1">IF(OR(CS30&lt;&gt;"",CU30&lt;&gt;""),RANK(DB30,DB$11:INDIRECT(DB$7,FALSE)),"")</f>
        <v>18</v>
      </c>
      <c r="DD30" s="109"/>
      <c r="DE30" s="4">
        <v>53.91</v>
      </c>
      <c r="DF30" s="103">
        <f t="shared" si="100"/>
        <v>53.91</v>
      </c>
      <c r="DG30" s="20"/>
      <c r="DH30" s="104">
        <f t="shared" si="130"/>
        <v>800.4</v>
      </c>
      <c r="DI30" s="104">
        <f t="shared" si="131"/>
        <v>800.4</v>
      </c>
      <c r="DJ30" s="105">
        <f ca="1">IF(OR(DE30&lt;&gt;"",DG30&lt;&gt;""),RANK(DI30,DI$11:INDIRECT(DI$7,FALSE)),"")</f>
        <v>15</v>
      </c>
      <c r="DK30" s="106"/>
      <c r="DL30" s="107">
        <f t="shared" si="16"/>
        <v>5712.399999999999</v>
      </c>
      <c r="DM30" s="110">
        <f>IF(AND($F$8&lt;9,DL30&lt;&gt;""),HLOOKUP(MATCH(EW30,EZ30:FG30,0),Discards,1,FALSE),"")</f>
        <v>7</v>
      </c>
      <c r="DN30" s="107">
        <f t="shared" si="132"/>
        <v>5712.399999999999</v>
      </c>
      <c r="DO30" s="108">
        <f ca="1">IF(OR(DE30&lt;&gt;"",DG30&lt;&gt;""),RANK(DN30,DN$11:INDIRECT(DN$7,FALSE)),"")</f>
        <v>19</v>
      </c>
      <c r="DP30" s="109"/>
      <c r="DQ30" s="4">
        <v>46.83</v>
      </c>
      <c r="DR30" s="103">
        <f t="shared" si="101"/>
        <v>46.83</v>
      </c>
      <c r="DS30" s="20"/>
      <c r="DT30" s="104">
        <f t="shared" si="133"/>
        <v>930.2</v>
      </c>
      <c r="DU30" s="104">
        <f t="shared" si="134"/>
        <v>930.2</v>
      </c>
      <c r="DV30" s="105">
        <f ca="1">IF(OR(DQ30&lt;&gt;"",DS30&lt;&gt;""),RANK(DU30,DU$11:INDIRECT(DU$7,FALSE)),"")</f>
        <v>5</v>
      </c>
      <c r="DW30" s="106"/>
      <c r="DX30" s="107">
        <f t="shared" si="18"/>
        <v>6642.5999999999985</v>
      </c>
      <c r="DY30" s="110">
        <f>IF(AND($F$8&lt;10,DX30&lt;&gt;""),HLOOKUP(MATCH(EX30,EZ30:FH30,0),Discards,1,FALSE),"")</f>
        <v>7</v>
      </c>
      <c r="DZ30" s="107">
        <f t="shared" si="135"/>
        <v>6642.5999999999985</v>
      </c>
      <c r="EA30" s="108">
        <f ca="1">IF(OR(DQ30&lt;&gt;"",DS30&lt;&gt;""),RANK(DZ30,DZ$11:INDIRECT(DZ$7,FALSE)),"")</f>
        <v>17</v>
      </c>
      <c r="EB30" s="109"/>
      <c r="EC30" s="4"/>
      <c r="ED30" s="103">
        <f t="shared" si="102"/>
      </c>
      <c r="EE30" s="20"/>
      <c r="EF30" s="104">
        <f t="shared" si="136"/>
      </c>
      <c r="EG30" s="104">
        <f t="shared" si="137"/>
        <v>0</v>
      </c>
      <c r="EH30" s="105">
        <f ca="1">IF(OR(EC30&lt;&gt;"",EE30&lt;&gt;""),RANK(EG30,EG$11:INDIRECT(EG$7,FALSE)),"")</f>
      </c>
      <c r="EI30" s="106"/>
      <c r="EJ30" s="107">
        <f t="shared" si="20"/>
      </c>
      <c r="EK30" s="110">
        <f>IF(AND($F$8&lt;11,EJ30&lt;&gt;""),HLOOKUP(MATCH(EY30,EZ30:FI30,0),Discards,1,FALSE),"")</f>
      </c>
      <c r="EL30" s="107">
        <f t="shared" si="138"/>
        <v>0</v>
      </c>
      <c r="EM30" s="108">
        <f ca="1">IF(OR(EC30&lt;&gt;"",EE30&lt;&gt;""),RANK(EL30,EL$11:INDIRECT(EL$7,FALSE)),"")</f>
      </c>
      <c r="EN30" s="111"/>
      <c r="EP30" s="112">
        <f t="shared" si="139"/>
        <v>1</v>
      </c>
      <c r="EQ30" s="28">
        <f>MIN($EZ30:FA30)</f>
        <v>834.2</v>
      </c>
      <c r="ER30" s="28">
        <f>MIN($EZ30:FB30)</f>
        <v>821.5</v>
      </c>
      <c r="ES30" s="28">
        <f>MIN($EZ30:FC30)</f>
        <v>821.5</v>
      </c>
      <c r="ET30" s="28">
        <f>MIN($EZ30:FD30)</f>
        <v>741.9</v>
      </c>
      <c r="EU30" s="28">
        <f>MIN($EZ30:FE30)</f>
        <v>741.9</v>
      </c>
      <c r="EV30" s="28">
        <f>MIN($EZ30:FF30)</f>
        <v>723.8</v>
      </c>
      <c r="EW30" s="28">
        <f>MIN($EZ30:FG30)</f>
        <v>723.8</v>
      </c>
      <c r="EX30" s="28">
        <f>MIN($EZ30:FH30)</f>
        <v>723.8</v>
      </c>
      <c r="EY30" s="28">
        <f>MIN($EZ30:FI30)</f>
        <v>723.8</v>
      </c>
      <c r="EZ30" s="28">
        <f t="shared" si="21"/>
        <v>834.2</v>
      </c>
      <c r="FA30" s="28">
        <f t="shared" si="22"/>
        <v>895.9</v>
      </c>
      <c r="FB30" s="28">
        <f t="shared" si="23"/>
        <v>821.5</v>
      </c>
      <c r="FC30" s="28">
        <f t="shared" si="24"/>
        <v>830.3</v>
      </c>
      <c r="FD30" s="28">
        <f t="shared" si="25"/>
        <v>741.9</v>
      </c>
      <c r="FE30" s="28">
        <f t="shared" si="26"/>
        <v>788.2</v>
      </c>
      <c r="FF30" s="28">
        <f t="shared" si="27"/>
        <v>723.8</v>
      </c>
      <c r="FG30" s="28">
        <f t="shared" si="28"/>
        <v>800.4</v>
      </c>
      <c r="FH30" s="28">
        <f t="shared" si="29"/>
        <v>930.2</v>
      </c>
      <c r="FI30" s="28">
        <f t="shared" si="30"/>
      </c>
      <c r="FL30" s="26">
        <f t="shared" si="140"/>
        <v>255000000</v>
      </c>
      <c r="FM30" s="26">
        <f t="shared" si="141"/>
        <v>255000</v>
      </c>
      <c r="FN30" s="26">
        <f t="shared" si="142"/>
        <v>255</v>
      </c>
      <c r="FO30" s="26">
        <f>IF(C30&lt;&gt;"",SUM(FL30:FN30),0)</f>
        <v>255255255</v>
      </c>
      <c r="FP30" s="26">
        <f ca="1">IF(FO30&gt;0,SMALL($FO$11:INDIRECT($FO$7,FALSE),A30),0)</f>
        <v>255255255</v>
      </c>
      <c r="FQ30" s="26">
        <f t="shared" si="143"/>
        <v>255</v>
      </c>
      <c r="FR30" s="26">
        <f t="shared" si="144"/>
        <v>255</v>
      </c>
      <c r="FS30" s="26">
        <f t="shared" si="145"/>
        <v>255</v>
      </c>
      <c r="FT30" s="26">
        <f t="shared" si="146"/>
      </c>
      <c r="FU30" s="26">
        <f t="shared" si="147"/>
        <v>24</v>
      </c>
      <c r="FV30" s="28">
        <f t="shared" si="31"/>
      </c>
      <c r="FW30" s="26">
        <f t="shared" si="159"/>
      </c>
      <c r="FX30" s="28">
        <f t="shared" si="148"/>
      </c>
      <c r="FY30" s="26">
        <f ca="1">IF(FX30&lt;&gt;"",RANK(FX30,FX$11:INDIRECT(FX$7,FALSE)),"")</f>
      </c>
      <c r="FZ30" s="26">
        <f t="shared" si="149"/>
      </c>
      <c r="GA30" s="26">
        <f t="shared" si="81"/>
      </c>
      <c r="GC30" s="27">
        <f t="shared" si="32"/>
      </c>
      <c r="GD30" s="27">
        <f t="shared" si="33"/>
      </c>
      <c r="GE30" s="27">
        <f t="shared" si="82"/>
      </c>
      <c r="GF30" s="27">
        <f t="shared" si="150"/>
      </c>
      <c r="GG30" s="27">
        <f t="shared" si="151"/>
        <v>0</v>
      </c>
      <c r="GH30" s="26">
        <f t="shared" si="152"/>
        <v>0</v>
      </c>
      <c r="GI30" s="26">
        <f t="shared" si="153"/>
        <v>0</v>
      </c>
      <c r="GJ30" s="26">
        <f t="shared" si="154"/>
        <v>0</v>
      </c>
      <c r="GK30" s="26">
        <f t="shared" si="155"/>
      </c>
      <c r="GL30" s="28">
        <f t="shared" si="156"/>
      </c>
      <c r="GM30" s="26">
        <f t="shared" si="157"/>
      </c>
    </row>
    <row r="31" spans="1:195" ht="12.75">
      <c r="A31" s="16">
        <f t="shared" si="158"/>
        <v>21</v>
      </c>
      <c r="B31" s="17"/>
      <c r="C31" s="18" t="s">
        <v>144</v>
      </c>
      <c r="D31" s="19" t="s">
        <v>145</v>
      </c>
      <c r="E31" s="18" t="s">
        <v>142</v>
      </c>
      <c r="F31" s="18"/>
      <c r="G31" s="148"/>
      <c r="H31" s="122">
        <f t="shared" si="103"/>
      </c>
      <c r="I31" s="30">
        <f t="shared" si="104"/>
        <v>6549.800000000001</v>
      </c>
      <c r="J31" s="30">
        <f>AD31+AO31+BA31+BM31+BY31+CK31+CW31+DI31+DU31+EG31-(MIN(EZ31:FI31)*$EY$2)</f>
        <v>6549.800000000001</v>
      </c>
      <c r="K31" s="139">
        <f ca="1">IF(I31&lt;&gt;"",RANK(I31,J$11:INDIRECT(J$7,FALSE)),"")</f>
        <v>19</v>
      </c>
      <c r="L31" s="102">
        <f t="shared" si="105"/>
      </c>
      <c r="M31" s="102">
        <f t="shared" si="106"/>
        <v>0</v>
      </c>
      <c r="N31" s="51">
        <f t="shared" si="1"/>
      </c>
      <c r="O31" s="150"/>
      <c r="P31" s="151">
        <f t="shared" si="38"/>
      </c>
      <c r="Q31" s="152"/>
      <c r="R31" s="153">
        <f t="shared" si="39"/>
      </c>
      <c r="S31" s="153">
        <f t="shared" si="40"/>
        <v>0</v>
      </c>
      <c r="T31" s="154">
        <f ca="1">IF(OR(O31&lt;&gt;"",Q31&lt;&gt;""),RANK(S31,S$11:INDIRECT(S$7,FALSE)),"")</f>
      </c>
      <c r="U31" s="155"/>
      <c r="V31" s="156"/>
      <c r="W31" s="156"/>
      <c r="X31" s="157"/>
      <c r="Y31" s="158"/>
      <c r="Z31" s="227">
        <v>62.77</v>
      </c>
      <c r="AA31" s="103">
        <f t="shared" si="107"/>
        <v>62.77</v>
      </c>
      <c r="AB31" s="20"/>
      <c r="AC31" s="104">
        <f t="shared" si="108"/>
        <v>871.4</v>
      </c>
      <c r="AD31" s="104">
        <f t="shared" si="109"/>
        <v>871.4</v>
      </c>
      <c r="AE31" s="105">
        <f ca="1">IF(OR(Z31&lt;&gt;"",AB31&lt;&gt;""),RANK(AD31,AD$11:INDIRECT(AD$7,FALSE)),"")</f>
        <v>11</v>
      </c>
      <c r="AF31" s="106"/>
      <c r="AG31" s="107">
        <f t="shared" si="110"/>
        <v>871.4</v>
      </c>
      <c r="AH31" s="107">
        <f t="shared" si="111"/>
        <v>871.4</v>
      </c>
      <c r="AI31" s="108">
        <f ca="1">IF(OR(Z31&lt;&gt;"",AB31&lt;&gt;""),RANK(AH31,AH$11:INDIRECT(AH$7,FALSE)),"")</f>
        <v>11</v>
      </c>
      <c r="AJ31" s="109"/>
      <c r="AK31" s="4">
        <v>64.21</v>
      </c>
      <c r="AL31" s="103">
        <f t="shared" si="112"/>
        <v>64.21</v>
      </c>
      <c r="AM31" s="20"/>
      <c r="AN31" s="104">
        <f t="shared" si="113"/>
        <v>811.9</v>
      </c>
      <c r="AO31" s="104">
        <f t="shared" si="114"/>
        <v>811.9</v>
      </c>
      <c r="AP31" s="105">
        <f ca="1">IF(OR(AK31&lt;&gt;"",AM31&lt;&gt;""),RANK(AO31,AO$11:INDIRECT(AO$7,FALSE)),"")</f>
        <v>20</v>
      </c>
      <c r="AQ31" s="106"/>
      <c r="AR31" s="107">
        <f t="shared" si="3"/>
        <v>1683.3</v>
      </c>
      <c r="AS31" s="110">
        <f>IF(AND($F$8&lt;3,AR31&lt;&gt;""),HLOOKUP(MATCH(EQ31,EZ31:FA31,0),Discards,1,FALSE),"")</f>
      </c>
      <c r="AT31" s="107">
        <f t="shared" si="4"/>
        <v>1683.3</v>
      </c>
      <c r="AU31" s="108">
        <f ca="1">IF(OR(AK31&lt;&gt;"",AM31&lt;&gt;""),RANK(AT31,AT$11:INDIRECT(AT$7,FALSE)),"")</f>
        <v>14</v>
      </c>
      <c r="AV31" s="109"/>
      <c r="AW31" s="4">
        <v>59.68</v>
      </c>
      <c r="AX31" s="103">
        <f t="shared" si="95"/>
        <v>59.68</v>
      </c>
      <c r="AY31" s="20"/>
      <c r="AZ31" s="104">
        <f t="shared" si="115"/>
        <v>790.2</v>
      </c>
      <c r="BA31" s="104">
        <f t="shared" si="116"/>
        <v>790.2</v>
      </c>
      <c r="BB31" s="105">
        <f ca="1">IF(OR(AW31&lt;&gt;"",AY31&lt;&gt;""),RANK(BA31,BA$11:INDIRECT(BA$7,FALSE)),"")</f>
        <v>20</v>
      </c>
      <c r="BC31" s="106"/>
      <c r="BD31" s="107">
        <f t="shared" si="6"/>
        <v>2473.5</v>
      </c>
      <c r="BE31" s="110">
        <f>IF(AND($F$8&lt;4,BD31&lt;&gt;""),HLOOKUP(MATCH(ER31,EZ31:FB31,0),Discards,1,FALSE),"")</f>
      </c>
      <c r="BF31" s="107">
        <f t="shared" si="117"/>
        <v>2473.5</v>
      </c>
      <c r="BG31" s="108">
        <f ca="1">IF(OR(AW31&lt;&gt;"",AY31&lt;&gt;""),RANK(BF31,BF$11:INDIRECT(BF$7,FALSE)),"")</f>
        <v>17</v>
      </c>
      <c r="BH31" s="109"/>
      <c r="BI31" s="4">
        <v>55.19</v>
      </c>
      <c r="BJ31" s="103">
        <f t="shared" si="96"/>
        <v>55.19</v>
      </c>
      <c r="BK31" s="20"/>
      <c r="BL31" s="104">
        <f t="shared" si="118"/>
        <v>889.5</v>
      </c>
      <c r="BM31" s="104">
        <f t="shared" si="119"/>
        <v>889.5</v>
      </c>
      <c r="BN31" s="105">
        <f ca="1">IF(OR(BI31&lt;&gt;"",BK31&lt;&gt;""),RANK(BM31,BM$11:INDIRECT(BM$7,FALSE)),"")</f>
        <v>13</v>
      </c>
      <c r="BO31" s="106"/>
      <c r="BP31" s="107">
        <f t="shared" si="8"/>
        <v>3363</v>
      </c>
      <c r="BQ31" s="110">
        <f>IF(AND($F$8&lt;5,BP31&lt;&gt;""),HLOOKUP(MATCH(ES31,EZ31:FC31,0),Discards,1,FALSE),"")</f>
      </c>
      <c r="BR31" s="107">
        <f t="shared" si="120"/>
        <v>3363</v>
      </c>
      <c r="BS31" s="108">
        <f ca="1">IF(OR(BI31&lt;&gt;"",BK31&lt;&gt;""),RANK(BR31,BR$11:INDIRECT(BR$7,FALSE)),"")</f>
        <v>16</v>
      </c>
      <c r="BT31" s="109"/>
      <c r="BU31" s="4">
        <v>56.87</v>
      </c>
      <c r="BV31" s="103">
        <f t="shared" si="97"/>
        <v>56.87</v>
      </c>
      <c r="BW31" s="20"/>
      <c r="BX31" s="104">
        <f t="shared" si="121"/>
        <v>804.1</v>
      </c>
      <c r="BY31" s="104">
        <f t="shared" si="122"/>
        <v>804.1</v>
      </c>
      <c r="BZ31" s="105">
        <f ca="1">IF(OR(BU31&lt;&gt;"",BW31&lt;&gt;""),RANK(BY31,BY$11:INDIRECT(BY$7,FALSE)),"")</f>
        <v>15</v>
      </c>
      <c r="CA31" s="106"/>
      <c r="CB31" s="107">
        <f t="shared" si="10"/>
        <v>3376.9000000000005</v>
      </c>
      <c r="CC31" s="110">
        <f>IF(AND($F$8&lt;6,CB31&lt;&gt;""),HLOOKUP(MATCH(ET31,EZ31:FD31,0),Discards,1,FALSE),"")</f>
        <v>3</v>
      </c>
      <c r="CD31" s="107">
        <f t="shared" si="123"/>
        <v>3376.9000000000005</v>
      </c>
      <c r="CE31" s="108">
        <f ca="1">IF(OR(BU31&lt;&gt;"",BW31&lt;&gt;""),RANK(CD31,CD$11:INDIRECT(CD$7,FALSE)),"")</f>
        <v>19</v>
      </c>
      <c r="CF31" s="109"/>
      <c r="CG31" s="4">
        <v>60.25</v>
      </c>
      <c r="CH31" s="103">
        <f t="shared" si="98"/>
        <v>60.25</v>
      </c>
      <c r="CI31" s="20"/>
      <c r="CJ31" s="104">
        <f t="shared" si="124"/>
        <v>819.1</v>
      </c>
      <c r="CK31" s="104">
        <f t="shared" si="125"/>
        <v>819.1</v>
      </c>
      <c r="CL31" s="105">
        <f ca="1">IF(OR(CG31&lt;&gt;"",CI31&lt;&gt;""),RANK(CK31,CK$11:INDIRECT(CK$7,FALSE)),"")</f>
        <v>16</v>
      </c>
      <c r="CM31" s="106"/>
      <c r="CN31" s="107">
        <f t="shared" si="12"/>
        <v>4196.000000000001</v>
      </c>
      <c r="CO31" s="110">
        <f>IF(AND($F$8&lt;7,CN31&lt;&gt;""),HLOOKUP(MATCH(EU31,EZ31:FE31,0),Discards,1,FALSE),"")</f>
        <v>3</v>
      </c>
      <c r="CP31" s="107">
        <f t="shared" si="126"/>
        <v>4196.000000000001</v>
      </c>
      <c r="CQ31" s="108">
        <f ca="1">IF(OR(CG31&lt;&gt;"",CI31&lt;&gt;""),RANK(CP31,CP$11:INDIRECT(CP$7,FALSE)),"")</f>
        <v>17</v>
      </c>
      <c r="CR31" s="109"/>
      <c r="CS31" s="4">
        <v>55.87</v>
      </c>
      <c r="CT31" s="103">
        <f t="shared" si="99"/>
        <v>55.87</v>
      </c>
      <c r="CU31" s="20"/>
      <c r="CV31" s="104">
        <f t="shared" si="127"/>
        <v>715.6</v>
      </c>
      <c r="CW31" s="104">
        <f t="shared" si="128"/>
        <v>715.6</v>
      </c>
      <c r="CX31" s="105">
        <f ca="1">IF(OR(CS31&lt;&gt;"",CU31&lt;&gt;""),RANK(CW31,CW$11:INDIRECT(CW$7,FALSE)),"")</f>
        <v>16</v>
      </c>
      <c r="CY31" s="106"/>
      <c r="CZ31" s="107">
        <f t="shared" si="14"/>
        <v>4986.200000000001</v>
      </c>
      <c r="DA31" s="110">
        <f>IF(AND($F$8&lt;8,CZ31&lt;&gt;""),HLOOKUP(MATCH(EV31,EZ31:FF31,0),Discards,1,FALSE),"")</f>
        <v>7</v>
      </c>
      <c r="DB31" s="107">
        <f t="shared" si="129"/>
        <v>4986.200000000001</v>
      </c>
      <c r="DC31" s="108">
        <f ca="1">IF(OR(CS31&lt;&gt;"",CU31&lt;&gt;""),RANK(DB31,DB$11:INDIRECT(DB$7,FALSE)),"")</f>
        <v>16</v>
      </c>
      <c r="DD31" s="109"/>
      <c r="DE31" s="4">
        <v>54.37</v>
      </c>
      <c r="DF31" s="103">
        <f t="shared" si="100"/>
        <v>54.37</v>
      </c>
      <c r="DG31" s="20"/>
      <c r="DH31" s="104">
        <f t="shared" si="130"/>
        <v>793.6</v>
      </c>
      <c r="DI31" s="104">
        <f t="shared" si="131"/>
        <v>793.6</v>
      </c>
      <c r="DJ31" s="105">
        <f ca="1">IF(OR(DE31&lt;&gt;"",DG31&lt;&gt;""),RANK(DI31,DI$11:INDIRECT(DI$7,FALSE)),"")</f>
        <v>16</v>
      </c>
      <c r="DK31" s="106"/>
      <c r="DL31" s="107">
        <f t="shared" si="16"/>
        <v>5779.800000000001</v>
      </c>
      <c r="DM31" s="110">
        <f>IF(AND($F$8&lt;9,DL31&lt;&gt;""),HLOOKUP(MATCH(EW31,EZ31:FG31,0),Discards,1,FALSE),"")</f>
        <v>7</v>
      </c>
      <c r="DN31" s="107">
        <f t="shared" si="132"/>
        <v>5779.800000000001</v>
      </c>
      <c r="DO31" s="108">
        <f ca="1">IF(OR(DE31&lt;&gt;"",DG31&lt;&gt;""),RANK(DN31,DN$11:INDIRECT(DN$7,FALSE)),"")</f>
        <v>18</v>
      </c>
      <c r="DP31" s="109"/>
      <c r="DQ31" s="4">
        <v>56.57</v>
      </c>
      <c r="DR31" s="103">
        <f t="shared" si="101"/>
        <v>56.57</v>
      </c>
      <c r="DS31" s="20"/>
      <c r="DT31" s="104">
        <f t="shared" si="133"/>
        <v>770</v>
      </c>
      <c r="DU31" s="104">
        <f t="shared" si="134"/>
        <v>770</v>
      </c>
      <c r="DV31" s="105">
        <f ca="1">IF(OR(DQ31&lt;&gt;"",DS31&lt;&gt;""),RANK(DU31,DU$11:INDIRECT(DU$7,FALSE)),"")</f>
        <v>21</v>
      </c>
      <c r="DW31" s="106"/>
      <c r="DX31" s="107">
        <f t="shared" si="18"/>
        <v>6549.800000000001</v>
      </c>
      <c r="DY31" s="110">
        <f>IF(AND($F$8&lt;10,DX31&lt;&gt;""),HLOOKUP(MATCH(EX31,EZ31:FH31,0),Discards,1,FALSE),"")</f>
        <v>7</v>
      </c>
      <c r="DZ31" s="107">
        <f t="shared" si="135"/>
        <v>6549.800000000001</v>
      </c>
      <c r="EA31" s="108">
        <f ca="1">IF(OR(DQ31&lt;&gt;"",DS31&lt;&gt;""),RANK(DZ31,DZ$11:INDIRECT(DZ$7,FALSE)),"")</f>
        <v>19</v>
      </c>
      <c r="EB31" s="109"/>
      <c r="EC31" s="4"/>
      <c r="ED31" s="103">
        <f t="shared" si="102"/>
      </c>
      <c r="EE31" s="20"/>
      <c r="EF31" s="104">
        <f t="shared" si="136"/>
      </c>
      <c r="EG31" s="104">
        <f t="shared" si="137"/>
        <v>0</v>
      </c>
      <c r="EH31" s="105">
        <f ca="1">IF(OR(EC31&lt;&gt;"",EE31&lt;&gt;""),RANK(EG31,EG$11:INDIRECT(EG$7,FALSE)),"")</f>
      </c>
      <c r="EI31" s="106"/>
      <c r="EJ31" s="107">
        <f t="shared" si="20"/>
      </c>
      <c r="EK31" s="110">
        <f>IF(AND($F$8&lt;11,EJ31&lt;&gt;""),HLOOKUP(MATCH(EY31,EZ31:FI31,0),Discards,1,FALSE),"")</f>
      </c>
      <c r="EL31" s="107">
        <f t="shared" si="138"/>
        <v>0</v>
      </c>
      <c r="EM31" s="108">
        <f ca="1">IF(OR(EC31&lt;&gt;"",EE31&lt;&gt;""),RANK(EL31,EL$11:INDIRECT(EL$7,FALSE)),"")</f>
      </c>
      <c r="EN31" s="111"/>
      <c r="EP31" s="112">
        <f t="shared" si="139"/>
        <v>1</v>
      </c>
      <c r="EQ31" s="28">
        <f>MIN($EZ31:FA31)</f>
        <v>811.9</v>
      </c>
      <c r="ER31" s="28">
        <f>MIN($EZ31:FB31)</f>
        <v>790.2</v>
      </c>
      <c r="ES31" s="28">
        <f>MIN($EZ31:FC31)</f>
        <v>790.2</v>
      </c>
      <c r="ET31" s="28">
        <f>MIN($EZ31:FD31)</f>
        <v>790.2</v>
      </c>
      <c r="EU31" s="28">
        <f>MIN($EZ31:FE31)</f>
        <v>790.2</v>
      </c>
      <c r="EV31" s="28">
        <f>MIN($EZ31:FF31)</f>
        <v>715.6</v>
      </c>
      <c r="EW31" s="28">
        <f>MIN($EZ31:FG31)</f>
        <v>715.6</v>
      </c>
      <c r="EX31" s="28">
        <f>MIN($EZ31:FH31)</f>
        <v>715.6</v>
      </c>
      <c r="EY31" s="28">
        <f>MIN($EZ31:FI31)</f>
        <v>715.6</v>
      </c>
      <c r="EZ31" s="28">
        <f t="shared" si="21"/>
        <v>871.4</v>
      </c>
      <c r="FA31" s="28">
        <f t="shared" si="22"/>
        <v>811.9</v>
      </c>
      <c r="FB31" s="28">
        <f t="shared" si="23"/>
        <v>790.2</v>
      </c>
      <c r="FC31" s="28">
        <f t="shared" si="24"/>
        <v>889.5</v>
      </c>
      <c r="FD31" s="28">
        <f t="shared" si="25"/>
        <v>804.1</v>
      </c>
      <c r="FE31" s="28">
        <f t="shared" si="26"/>
        <v>819.1</v>
      </c>
      <c r="FF31" s="28">
        <f t="shared" si="27"/>
        <v>715.6</v>
      </c>
      <c r="FG31" s="28">
        <f t="shared" si="28"/>
        <v>793.6</v>
      </c>
      <c r="FH31" s="28">
        <f t="shared" si="29"/>
        <v>770</v>
      </c>
      <c r="FI31" s="28">
        <f t="shared" si="30"/>
      </c>
      <c r="FL31" s="26">
        <f t="shared" si="140"/>
        <v>255000000</v>
      </c>
      <c r="FM31" s="26">
        <f t="shared" si="141"/>
        <v>255000</v>
      </c>
      <c r="FN31" s="26">
        <f t="shared" si="142"/>
        <v>255</v>
      </c>
      <c r="FO31" s="26">
        <f>IF(C31&lt;&gt;"",SUM(FL31:FN31),0)</f>
        <v>255255255</v>
      </c>
      <c r="FP31" s="26">
        <f ca="1">IF(FO31&gt;0,SMALL($FO$11:INDIRECT($FO$7,FALSE),A31),0)</f>
        <v>255255255</v>
      </c>
      <c r="FQ31" s="26">
        <f t="shared" si="143"/>
        <v>255</v>
      </c>
      <c r="FR31" s="26">
        <f t="shared" si="144"/>
        <v>255</v>
      </c>
      <c r="FS31" s="26">
        <f t="shared" si="145"/>
        <v>255</v>
      </c>
      <c r="FT31" s="26">
        <f t="shared" si="146"/>
      </c>
      <c r="FU31" s="26">
        <f t="shared" si="147"/>
        <v>24</v>
      </c>
      <c r="FV31" s="28">
        <f t="shared" si="31"/>
      </c>
      <c r="FW31" s="26">
        <f t="shared" si="159"/>
      </c>
      <c r="FX31" s="28">
        <f t="shared" si="148"/>
      </c>
      <c r="FY31" s="26">
        <f ca="1">IF(FX31&lt;&gt;"",RANK(FX31,FX$11:INDIRECT(FX$7,FALSE)),"")</f>
      </c>
      <c r="FZ31" s="26">
        <f t="shared" si="149"/>
      </c>
      <c r="GA31" s="26">
        <f t="shared" si="81"/>
      </c>
      <c r="GC31" s="27">
        <f t="shared" si="32"/>
      </c>
      <c r="GD31" s="27">
        <f t="shared" si="33"/>
      </c>
      <c r="GE31" s="27">
        <f t="shared" si="82"/>
      </c>
      <c r="GF31" s="27">
        <f t="shared" si="150"/>
      </c>
      <c r="GG31" s="27">
        <f t="shared" si="151"/>
        <v>0</v>
      </c>
      <c r="GH31" s="26">
        <f t="shared" si="152"/>
        <v>0</v>
      </c>
      <c r="GI31" s="26">
        <f t="shared" si="153"/>
        <v>0</v>
      </c>
      <c r="GJ31" s="26">
        <f t="shared" si="154"/>
        <v>0</v>
      </c>
      <c r="GK31" s="26">
        <f t="shared" si="155"/>
      </c>
      <c r="GL31" s="28">
        <f t="shared" si="156"/>
      </c>
      <c r="GM31" s="26">
        <f t="shared" si="157"/>
      </c>
    </row>
    <row r="32" spans="1:195" ht="12.75">
      <c r="A32" s="132">
        <f t="shared" si="158"/>
        <v>22</v>
      </c>
      <c r="B32" s="133"/>
      <c r="C32" s="134" t="s">
        <v>146</v>
      </c>
      <c r="D32" s="135" t="s">
        <v>107</v>
      </c>
      <c r="E32" s="134" t="s">
        <v>147</v>
      </c>
      <c r="F32" s="134"/>
      <c r="G32" s="149"/>
      <c r="H32" s="136">
        <f t="shared" si="103"/>
      </c>
      <c r="I32" s="137">
        <f t="shared" si="104"/>
        <v>6725.2</v>
      </c>
      <c r="J32" s="137">
        <f>AD32+AO32+BA32+BM32+BY32+CK32+CW32+DI32+DU32+EG32-(MIN(EZ32:FI32)*$EY$2)</f>
        <v>6725.2</v>
      </c>
      <c r="K32" s="140">
        <f ca="1">IF(I32&lt;&gt;"",RANK(I32,J$11:INDIRECT(J$7,FALSE)),"")</f>
        <v>16</v>
      </c>
      <c r="L32" s="137">
        <f t="shared" si="105"/>
      </c>
      <c r="M32" s="137">
        <f t="shared" si="106"/>
        <v>0</v>
      </c>
      <c r="N32" s="138">
        <f t="shared" si="1"/>
      </c>
      <c r="O32" s="159"/>
      <c r="P32" s="160">
        <f t="shared" si="38"/>
      </c>
      <c r="Q32" s="161"/>
      <c r="R32" s="162">
        <f t="shared" si="39"/>
      </c>
      <c r="S32" s="162">
        <f t="shared" si="40"/>
        <v>0</v>
      </c>
      <c r="T32" s="163">
        <f ca="1">IF(OR(O32&lt;&gt;"",Q32&lt;&gt;""),RANK(S32,S$11:INDIRECT(S$7,FALSE)),"")</f>
      </c>
      <c r="U32" s="164"/>
      <c r="V32" s="165"/>
      <c r="W32" s="165"/>
      <c r="X32" s="166"/>
      <c r="Y32" s="167"/>
      <c r="Z32" s="228">
        <v>64.46</v>
      </c>
      <c r="AA32" s="113">
        <f t="shared" si="107"/>
        <v>64.46</v>
      </c>
      <c r="AB32" s="21"/>
      <c r="AC32" s="114">
        <f t="shared" si="108"/>
        <v>848.6</v>
      </c>
      <c r="AD32" s="114">
        <f t="shared" si="109"/>
        <v>848.6</v>
      </c>
      <c r="AE32" s="115">
        <f ca="1">IF(OR(Z32&lt;&gt;"",AB32&lt;&gt;""),RANK(AD32,AD$11:INDIRECT(AD$7,FALSE)),"")</f>
        <v>13</v>
      </c>
      <c r="AF32" s="116"/>
      <c r="AG32" s="117">
        <f t="shared" si="110"/>
        <v>848.6</v>
      </c>
      <c r="AH32" s="117">
        <f t="shared" si="111"/>
        <v>848.6</v>
      </c>
      <c r="AI32" s="118">
        <f ca="1">IF(OR(Z32&lt;&gt;"",AB32&lt;&gt;""),RANK(AH32,AH$11:INDIRECT(AH$7,FALSE)),"")</f>
        <v>13</v>
      </c>
      <c r="AJ32" s="119"/>
      <c r="AK32" s="5">
        <v>62.02</v>
      </c>
      <c r="AL32" s="113">
        <f t="shared" si="112"/>
        <v>62.02</v>
      </c>
      <c r="AM32" s="21"/>
      <c r="AN32" s="114">
        <f t="shared" si="113"/>
        <v>840.5</v>
      </c>
      <c r="AO32" s="114">
        <f t="shared" si="114"/>
        <v>840.5</v>
      </c>
      <c r="AP32" s="115">
        <f ca="1">IF(OR(AK32&lt;&gt;"",AM32&lt;&gt;""),RANK(AO32,AO$11:INDIRECT(AO$7,FALSE)),"")</f>
        <v>12</v>
      </c>
      <c r="AQ32" s="116"/>
      <c r="AR32" s="117">
        <f t="shared" si="3"/>
        <v>1689.1</v>
      </c>
      <c r="AS32" s="120">
        <f>IF(AND($F$8&lt;3,AR32&lt;&gt;""),HLOOKUP(MATCH(EQ32,EZ32:FA32,0),Discards,1,FALSE),"")</f>
      </c>
      <c r="AT32" s="117">
        <f t="shared" si="4"/>
        <v>1689.1</v>
      </c>
      <c r="AU32" s="118">
        <f ca="1">IF(OR(AK32&lt;&gt;"",AM32&lt;&gt;""),RANK(AT32,AT$11:INDIRECT(AT$7,FALSE)),"")</f>
        <v>13</v>
      </c>
      <c r="AV32" s="119"/>
      <c r="AW32" s="5">
        <v>51.67</v>
      </c>
      <c r="AX32" s="113">
        <f t="shared" si="95"/>
        <v>51.67</v>
      </c>
      <c r="AY32" s="21"/>
      <c r="AZ32" s="114">
        <f t="shared" si="115"/>
        <v>912.7</v>
      </c>
      <c r="BA32" s="114">
        <f t="shared" si="116"/>
        <v>912.7</v>
      </c>
      <c r="BB32" s="115">
        <f ca="1">IF(OR(AW32&lt;&gt;"",AY32&lt;&gt;""),RANK(BA32,BA$11:INDIRECT(BA$7,FALSE)),"")</f>
        <v>3</v>
      </c>
      <c r="BC32" s="116"/>
      <c r="BD32" s="117">
        <f t="shared" si="6"/>
        <v>2601.8</v>
      </c>
      <c r="BE32" s="120">
        <f>IF(AND($F$8&lt;4,BD32&lt;&gt;""),HLOOKUP(MATCH(ER32,EZ32:FB32,0),Discards,1,FALSE),"")</f>
      </c>
      <c r="BF32" s="117">
        <f t="shared" si="117"/>
        <v>2601.8</v>
      </c>
      <c r="BG32" s="118">
        <f ca="1">IF(OR(AW32&lt;&gt;"",AY32&lt;&gt;""),RANK(BF32,BF$11:INDIRECT(BF$7,FALSE)),"")</f>
        <v>8</v>
      </c>
      <c r="BH32" s="119"/>
      <c r="BI32" s="5">
        <v>53.23</v>
      </c>
      <c r="BJ32" s="113">
        <f t="shared" si="96"/>
        <v>53.23</v>
      </c>
      <c r="BK32" s="21"/>
      <c r="BL32" s="114">
        <f t="shared" si="118"/>
        <v>922.2</v>
      </c>
      <c r="BM32" s="114">
        <f t="shared" si="119"/>
        <v>922.2</v>
      </c>
      <c r="BN32" s="115">
        <f ca="1">IF(OR(BI32&lt;&gt;"",BK32&lt;&gt;""),RANK(BM32,BM$11:INDIRECT(BM$7,FALSE)),"")</f>
        <v>7</v>
      </c>
      <c r="BO32" s="116"/>
      <c r="BP32" s="117">
        <f t="shared" si="8"/>
        <v>3524</v>
      </c>
      <c r="BQ32" s="120">
        <f>IF(AND($F$8&lt;5,BP32&lt;&gt;""),HLOOKUP(MATCH(ES32,EZ32:FC32,0),Discards,1,FALSE),"")</f>
      </c>
      <c r="BR32" s="117">
        <f t="shared" si="120"/>
        <v>3524</v>
      </c>
      <c r="BS32" s="118">
        <f ca="1">IF(OR(BI32&lt;&gt;"",BK32&lt;&gt;""),RANK(BR32,BR$11:INDIRECT(BR$7,FALSE)),"")</f>
        <v>8</v>
      </c>
      <c r="BT32" s="119"/>
      <c r="BU32" s="5">
        <v>59.96</v>
      </c>
      <c r="BV32" s="113">
        <f t="shared" si="97"/>
        <v>59.96</v>
      </c>
      <c r="BW32" s="21"/>
      <c r="BX32" s="114">
        <f t="shared" si="121"/>
        <v>762.7</v>
      </c>
      <c r="BY32" s="114">
        <f t="shared" si="122"/>
        <v>762.7</v>
      </c>
      <c r="BZ32" s="115">
        <f ca="1">IF(OR(BU32&lt;&gt;"",BW32&lt;&gt;""),RANK(BY32,BY$11:INDIRECT(BY$7,FALSE)),"")</f>
        <v>21</v>
      </c>
      <c r="CA32" s="116"/>
      <c r="CB32" s="117">
        <f t="shared" si="10"/>
        <v>3524</v>
      </c>
      <c r="CC32" s="120">
        <f>IF(AND($F$8&lt;6,CB32&lt;&gt;""),HLOOKUP(MATCH(ET32,EZ32:FD32,0),Discards,1,FALSE),"")</f>
        <v>5</v>
      </c>
      <c r="CD32" s="117">
        <f t="shared" si="123"/>
        <v>3524</v>
      </c>
      <c r="CE32" s="118">
        <f ca="1">IF(OR(BU32&lt;&gt;"",BW32&lt;&gt;""),RANK(CD32,CD$11:INDIRECT(CD$7,FALSE)),"")</f>
        <v>11</v>
      </c>
      <c r="CF32" s="119"/>
      <c r="CG32" s="5">
        <v>56.07</v>
      </c>
      <c r="CH32" s="113">
        <f t="shared" si="98"/>
        <v>56.07</v>
      </c>
      <c r="CI32" s="21"/>
      <c r="CJ32" s="114">
        <f t="shared" si="124"/>
        <v>880.1</v>
      </c>
      <c r="CK32" s="114">
        <f t="shared" si="125"/>
        <v>880.1</v>
      </c>
      <c r="CL32" s="115">
        <f ca="1">IF(OR(CG32&lt;&gt;"",CI32&lt;&gt;""),RANK(CK32,CK$11:INDIRECT(CK$7,FALSE)),"")</f>
        <v>8</v>
      </c>
      <c r="CM32" s="116"/>
      <c r="CN32" s="117">
        <f t="shared" si="12"/>
        <v>4404.1</v>
      </c>
      <c r="CO32" s="120">
        <f>IF(AND($F$8&lt;7,CN32&lt;&gt;""),HLOOKUP(MATCH(EU32,EZ32:FE32,0),Discards,1,FALSE),"")</f>
        <v>5</v>
      </c>
      <c r="CP32" s="117">
        <f t="shared" si="126"/>
        <v>4404.1</v>
      </c>
      <c r="CQ32" s="118">
        <f ca="1">IF(OR(CG32&lt;&gt;"",CI32&lt;&gt;""),RANK(CP32,CP$11:INDIRECT(CP$7,FALSE)),"")</f>
        <v>10</v>
      </c>
      <c r="CR32" s="119"/>
      <c r="CS32" s="5">
        <v>61.14</v>
      </c>
      <c r="CT32" s="113">
        <f t="shared" si="99"/>
        <v>61.14</v>
      </c>
      <c r="CU32" s="21"/>
      <c r="CV32" s="114">
        <f t="shared" si="127"/>
        <v>653.9</v>
      </c>
      <c r="CW32" s="114">
        <f t="shared" si="128"/>
        <v>653.9</v>
      </c>
      <c r="CX32" s="115">
        <f ca="1">IF(OR(CS32&lt;&gt;"",CU32&lt;&gt;""),RANK(CW32,CW$11:INDIRECT(CW$7,FALSE)),"")</f>
        <v>21</v>
      </c>
      <c r="CY32" s="116"/>
      <c r="CZ32" s="117">
        <f t="shared" si="14"/>
        <v>5166.8</v>
      </c>
      <c r="DA32" s="120">
        <f>IF(AND($F$8&lt;8,CZ32&lt;&gt;""),HLOOKUP(MATCH(EV32,EZ32:FF32,0),Discards,1,FALSE),"")</f>
        <v>7</v>
      </c>
      <c r="DB32" s="117">
        <f t="shared" si="129"/>
        <v>5166.8</v>
      </c>
      <c r="DC32" s="118">
        <f ca="1">IF(OR(CS32&lt;&gt;"",CU32&lt;&gt;""),RANK(DB32,DB$11:INDIRECT(DB$7,FALSE)),"")</f>
        <v>12</v>
      </c>
      <c r="DD32" s="119"/>
      <c r="DE32" s="5">
        <v>55.41</v>
      </c>
      <c r="DF32" s="113">
        <f t="shared" si="100"/>
        <v>55.41</v>
      </c>
      <c r="DG32" s="21"/>
      <c r="DH32" s="114">
        <f t="shared" si="130"/>
        <v>778.7</v>
      </c>
      <c r="DI32" s="114">
        <f t="shared" si="131"/>
        <v>778.7</v>
      </c>
      <c r="DJ32" s="115">
        <f ca="1">IF(OR(DE32&lt;&gt;"",DG32&lt;&gt;""),RANK(DI32,DI$11:INDIRECT(DI$7,FALSE)),"")</f>
        <v>19</v>
      </c>
      <c r="DK32" s="116"/>
      <c r="DL32" s="117">
        <f t="shared" si="16"/>
        <v>5945.5</v>
      </c>
      <c r="DM32" s="120">
        <f>IF(AND($F$8&lt;9,DL32&lt;&gt;""),HLOOKUP(MATCH(EW32,EZ32:FG32,0),Discards,1,FALSE),"")</f>
        <v>7</v>
      </c>
      <c r="DN32" s="117">
        <f t="shared" si="132"/>
        <v>5945.5</v>
      </c>
      <c r="DO32" s="118">
        <f ca="1">IF(OR(DE32&lt;&gt;"",DG32&lt;&gt;""),RANK(DN32,DN$11:INDIRECT(DN$7,FALSE)),"")</f>
        <v>15</v>
      </c>
      <c r="DP32" s="119"/>
      <c r="DQ32" s="5">
        <v>55.87</v>
      </c>
      <c r="DR32" s="113">
        <f t="shared" si="101"/>
        <v>55.87</v>
      </c>
      <c r="DS32" s="21"/>
      <c r="DT32" s="114">
        <f t="shared" si="133"/>
        <v>779.7</v>
      </c>
      <c r="DU32" s="114">
        <f t="shared" si="134"/>
        <v>779.7</v>
      </c>
      <c r="DV32" s="115">
        <f ca="1">IF(OR(DQ32&lt;&gt;"",DS32&lt;&gt;""),RANK(DU32,DU$11:INDIRECT(DU$7,FALSE)),"")</f>
        <v>20</v>
      </c>
      <c r="DW32" s="116"/>
      <c r="DX32" s="117">
        <f t="shared" si="18"/>
        <v>6725.2</v>
      </c>
      <c r="DY32" s="120">
        <f>IF(AND($F$8&lt;10,DX32&lt;&gt;""),HLOOKUP(MATCH(EX32,EZ32:FH32,0),Discards,1,FALSE),"")</f>
        <v>7</v>
      </c>
      <c r="DZ32" s="117">
        <f t="shared" si="135"/>
        <v>6725.2</v>
      </c>
      <c r="EA32" s="118">
        <f ca="1">IF(OR(DQ32&lt;&gt;"",DS32&lt;&gt;""),RANK(DZ32,DZ$11:INDIRECT(DZ$7,FALSE)),"")</f>
        <v>16</v>
      </c>
      <c r="EB32" s="119"/>
      <c r="EC32" s="5"/>
      <c r="ED32" s="113">
        <f t="shared" si="102"/>
      </c>
      <c r="EE32" s="21"/>
      <c r="EF32" s="114">
        <f t="shared" si="136"/>
      </c>
      <c r="EG32" s="114">
        <f t="shared" si="137"/>
        <v>0</v>
      </c>
      <c r="EH32" s="115">
        <f ca="1">IF(OR(EC32&lt;&gt;"",EE32&lt;&gt;""),RANK(EG32,EG$11:INDIRECT(EG$7,FALSE)),"")</f>
      </c>
      <c r="EI32" s="116"/>
      <c r="EJ32" s="117">
        <f t="shared" si="20"/>
      </c>
      <c r="EK32" s="120">
        <f>IF(AND($F$8&lt;11,EJ32&lt;&gt;""),HLOOKUP(MATCH(EY32,EZ32:FI32,0),Discards,1,FALSE),"")</f>
      </c>
      <c r="EL32" s="117">
        <f t="shared" si="138"/>
        <v>0</v>
      </c>
      <c r="EM32" s="118">
        <f ca="1">IF(OR(EC32&lt;&gt;"",EE32&lt;&gt;""),RANK(EL32,EL$11:INDIRECT(EL$7,FALSE)),"")</f>
      </c>
      <c r="EN32" s="121"/>
      <c r="EP32" s="112">
        <f t="shared" si="139"/>
        <v>1</v>
      </c>
      <c r="EQ32" s="28">
        <f>MIN($EZ32:FA32)</f>
        <v>840.5</v>
      </c>
      <c r="ER32" s="28">
        <f>MIN($EZ32:FB32)</f>
        <v>840.5</v>
      </c>
      <c r="ES32" s="28">
        <f>MIN($EZ32:FC32)</f>
        <v>840.5</v>
      </c>
      <c r="ET32" s="28">
        <f>MIN($EZ32:FD32)</f>
        <v>762.7</v>
      </c>
      <c r="EU32" s="28">
        <f>MIN($EZ32:FE32)</f>
        <v>762.7</v>
      </c>
      <c r="EV32" s="28">
        <f>MIN($EZ32:FF32)</f>
        <v>653.9</v>
      </c>
      <c r="EW32" s="28">
        <f>MIN($EZ32:FG32)</f>
        <v>653.9</v>
      </c>
      <c r="EX32" s="28">
        <f>MIN($EZ32:FH32)</f>
        <v>653.9</v>
      </c>
      <c r="EY32" s="28">
        <f>MIN($EZ32:FI32)</f>
        <v>653.9</v>
      </c>
      <c r="EZ32" s="28">
        <f t="shared" si="21"/>
        <v>848.6</v>
      </c>
      <c r="FA32" s="28">
        <f t="shared" si="22"/>
        <v>840.5</v>
      </c>
      <c r="FB32" s="28">
        <f t="shared" si="23"/>
        <v>912.7</v>
      </c>
      <c r="FC32" s="28">
        <f t="shared" si="24"/>
        <v>922.2</v>
      </c>
      <c r="FD32" s="28">
        <f t="shared" si="25"/>
        <v>762.7</v>
      </c>
      <c r="FE32" s="28">
        <f t="shared" si="26"/>
        <v>880.1</v>
      </c>
      <c r="FF32" s="28">
        <f t="shared" si="27"/>
        <v>653.9</v>
      </c>
      <c r="FG32" s="28">
        <f t="shared" si="28"/>
        <v>778.7</v>
      </c>
      <c r="FH32" s="28">
        <f t="shared" si="29"/>
        <v>779.7</v>
      </c>
      <c r="FI32" s="28">
        <f t="shared" si="30"/>
      </c>
      <c r="FL32" s="26">
        <f t="shared" si="140"/>
        <v>255000000</v>
      </c>
      <c r="FM32" s="26">
        <f t="shared" si="141"/>
        <v>255000</v>
      </c>
      <c r="FN32" s="26">
        <f t="shared" si="142"/>
        <v>255</v>
      </c>
      <c r="FO32" s="26">
        <f>IF(C32&lt;&gt;"",SUM(FL32:FN32),0)</f>
        <v>255255255</v>
      </c>
      <c r="FP32" s="26">
        <f ca="1">IF(FO32&gt;0,SMALL($FO$11:INDIRECT($FO$7,FALSE),A32),0)</f>
        <v>255255255</v>
      </c>
      <c r="FQ32" s="26">
        <f t="shared" si="143"/>
        <v>255</v>
      </c>
      <c r="FR32" s="26">
        <f t="shared" si="144"/>
        <v>255</v>
      </c>
      <c r="FS32" s="26">
        <f t="shared" si="145"/>
        <v>255</v>
      </c>
      <c r="FT32" s="26">
        <f t="shared" si="146"/>
      </c>
      <c r="FU32" s="26">
        <f t="shared" si="147"/>
        <v>24</v>
      </c>
      <c r="FV32" s="28">
        <f t="shared" si="31"/>
      </c>
      <c r="FW32" s="26">
        <f t="shared" si="159"/>
      </c>
      <c r="FX32" s="28">
        <f t="shared" si="148"/>
      </c>
      <c r="FY32" s="26">
        <f ca="1">IF(FX32&lt;&gt;"",RANK(FX32,FX$11:INDIRECT(FX$7,FALSE)),"")</f>
      </c>
      <c r="FZ32" s="26">
        <f t="shared" si="149"/>
      </c>
      <c r="GA32" s="26">
        <f t="shared" si="81"/>
      </c>
      <c r="GC32" s="27">
        <f t="shared" si="32"/>
      </c>
      <c r="GD32" s="27">
        <f t="shared" si="33"/>
      </c>
      <c r="GE32" s="27">
        <f t="shared" si="82"/>
      </c>
      <c r="GF32" s="27">
        <f t="shared" si="150"/>
      </c>
      <c r="GG32" s="27">
        <f t="shared" si="151"/>
        <v>0</v>
      </c>
      <c r="GH32" s="26">
        <f t="shared" si="152"/>
        <v>0</v>
      </c>
      <c r="GI32" s="26">
        <f t="shared" si="153"/>
        <v>0</v>
      </c>
      <c r="GJ32" s="26">
        <f t="shared" si="154"/>
        <v>0</v>
      </c>
      <c r="GK32" s="26">
        <f t="shared" si="155"/>
      </c>
      <c r="GL32" s="28">
        <f t="shared" si="156"/>
      </c>
      <c r="GM32" s="26">
        <f t="shared" si="157"/>
      </c>
    </row>
    <row r="33" spans="1:195" ht="12.75">
      <c r="A33" s="132">
        <f t="shared" si="158"/>
        <v>23</v>
      </c>
      <c r="B33" s="133"/>
      <c r="C33" s="134" t="s">
        <v>148</v>
      </c>
      <c r="D33" s="135" t="s">
        <v>145</v>
      </c>
      <c r="E33" s="134" t="s">
        <v>149</v>
      </c>
      <c r="F33" s="134"/>
      <c r="G33" s="149"/>
      <c r="H33" s="136">
        <f t="shared" si="103"/>
      </c>
      <c r="I33" s="137">
        <f t="shared" si="104"/>
        <v>6834.899999999999</v>
      </c>
      <c r="J33" s="137">
        <f>AD33+AO33+BA33+BM33+BY33+CK33+CW33+DI33+DU33+EG33-(MIN(EZ33:FI33)*$EY$2)</f>
        <v>6834.899999999999</v>
      </c>
      <c r="K33" s="140">
        <f ca="1">IF(I33&lt;&gt;"",RANK(I33,J$11:INDIRECT(J$7,FALSE)),"")</f>
        <v>11</v>
      </c>
      <c r="L33" s="137">
        <f t="shared" si="105"/>
      </c>
      <c r="M33" s="137">
        <f t="shared" si="106"/>
        <v>0</v>
      </c>
      <c r="N33" s="138">
        <f t="shared" si="1"/>
      </c>
      <c r="O33" s="159"/>
      <c r="P33" s="160">
        <f t="shared" si="38"/>
      </c>
      <c r="Q33" s="161"/>
      <c r="R33" s="162">
        <f t="shared" si="39"/>
      </c>
      <c r="S33" s="162">
        <f t="shared" si="40"/>
        <v>0</v>
      </c>
      <c r="T33" s="163">
        <f ca="1">IF(OR(O33&lt;&gt;"",Q33&lt;&gt;""),RANK(S33,S$11:INDIRECT(S$7,FALSE)),"")</f>
      </c>
      <c r="U33" s="164"/>
      <c r="V33" s="165"/>
      <c r="W33" s="165"/>
      <c r="X33" s="166"/>
      <c r="Y33" s="167"/>
      <c r="Z33" s="228">
        <v>67.2</v>
      </c>
      <c r="AA33" s="113">
        <f t="shared" si="107"/>
        <v>67.2</v>
      </c>
      <c r="AB33" s="21"/>
      <c r="AC33" s="114">
        <f t="shared" si="108"/>
        <v>814</v>
      </c>
      <c r="AD33" s="114">
        <f t="shared" si="109"/>
        <v>814</v>
      </c>
      <c r="AE33" s="115">
        <f ca="1">IF(OR(Z33&lt;&gt;"",AB33&lt;&gt;""),RANK(AD33,AD$11:INDIRECT(AD$7,FALSE)),"")</f>
        <v>18</v>
      </c>
      <c r="AF33" s="116"/>
      <c r="AG33" s="117">
        <f t="shared" si="110"/>
        <v>814</v>
      </c>
      <c r="AH33" s="117">
        <f t="shared" si="111"/>
        <v>814</v>
      </c>
      <c r="AI33" s="118">
        <f ca="1">IF(OR(Z33&lt;&gt;"",AB33&lt;&gt;""),RANK(AH33,AH$11:INDIRECT(AH$7,FALSE)),"")</f>
        <v>18</v>
      </c>
      <c r="AJ33" s="119"/>
      <c r="AK33" s="5">
        <v>62.28</v>
      </c>
      <c r="AL33" s="113">
        <f t="shared" si="112"/>
        <v>62.28</v>
      </c>
      <c r="AM33" s="21"/>
      <c r="AN33" s="114">
        <f t="shared" si="113"/>
        <v>837</v>
      </c>
      <c r="AO33" s="114">
        <f t="shared" si="114"/>
        <v>837</v>
      </c>
      <c r="AP33" s="115">
        <f ca="1">IF(OR(AK33&lt;&gt;"",AM33&lt;&gt;""),RANK(AO33,AO$11:INDIRECT(AO$7,FALSE)),"")</f>
        <v>14</v>
      </c>
      <c r="AQ33" s="116"/>
      <c r="AR33" s="117">
        <f t="shared" si="3"/>
        <v>1651</v>
      </c>
      <c r="AS33" s="120">
        <f>IF(AND($F$8&lt;3,AR33&lt;&gt;""),HLOOKUP(MATCH(EQ33,EZ33:FA33,0),Discards,1,FALSE),"")</f>
      </c>
      <c r="AT33" s="117">
        <f t="shared" si="4"/>
        <v>1651</v>
      </c>
      <c r="AU33" s="118">
        <f ca="1">IF(OR(AK33&lt;&gt;"",AM33&lt;&gt;""),RANK(AT33,AT$11:INDIRECT(AT$7,FALSE)),"")</f>
        <v>18</v>
      </c>
      <c r="AV33" s="119"/>
      <c r="AW33" s="5">
        <v>56.16</v>
      </c>
      <c r="AX33" s="113">
        <f t="shared" si="95"/>
        <v>56.16</v>
      </c>
      <c r="AY33" s="21"/>
      <c r="AZ33" s="114">
        <f t="shared" si="115"/>
        <v>839.7</v>
      </c>
      <c r="BA33" s="114">
        <f t="shared" si="116"/>
        <v>839.7</v>
      </c>
      <c r="BB33" s="115">
        <f ca="1">IF(OR(AW33&lt;&gt;"",AY33&lt;&gt;""),RANK(BA33,BA$11:INDIRECT(BA$7,FALSE)),"")</f>
        <v>10</v>
      </c>
      <c r="BC33" s="116"/>
      <c r="BD33" s="117">
        <f t="shared" si="6"/>
        <v>2490.7</v>
      </c>
      <c r="BE33" s="120">
        <f>IF(AND($F$8&lt;4,BD33&lt;&gt;""),HLOOKUP(MATCH(ER33,EZ33:FB33,0),Discards,1,FALSE),"")</f>
      </c>
      <c r="BF33" s="117">
        <f t="shared" si="117"/>
        <v>2490.7</v>
      </c>
      <c r="BG33" s="118">
        <f ca="1">IF(OR(AW33&lt;&gt;"",AY33&lt;&gt;""),RANK(BF33,BF$11:INDIRECT(BF$7,FALSE)),"")</f>
        <v>16</v>
      </c>
      <c r="BH33" s="119"/>
      <c r="BI33" s="5">
        <v>56.94</v>
      </c>
      <c r="BJ33" s="113">
        <f t="shared" si="96"/>
        <v>56.94</v>
      </c>
      <c r="BK33" s="21"/>
      <c r="BL33" s="114">
        <f t="shared" si="118"/>
        <v>862.1</v>
      </c>
      <c r="BM33" s="114">
        <f t="shared" si="119"/>
        <v>862.1</v>
      </c>
      <c r="BN33" s="115">
        <f ca="1">IF(OR(BI33&lt;&gt;"",BK33&lt;&gt;""),RANK(BM33,BM$11:INDIRECT(BM$7,FALSE)),"")</f>
        <v>17</v>
      </c>
      <c r="BO33" s="116"/>
      <c r="BP33" s="117">
        <f t="shared" si="8"/>
        <v>3352.7999999999997</v>
      </c>
      <c r="BQ33" s="120">
        <f>IF(AND($F$8&lt;5,BP33&lt;&gt;""),HLOOKUP(MATCH(ES33,EZ33:FC33,0),Discards,1,FALSE),"")</f>
      </c>
      <c r="BR33" s="117">
        <f t="shared" si="120"/>
        <v>3352.7999999999997</v>
      </c>
      <c r="BS33" s="118">
        <f ca="1">IF(OR(BI33&lt;&gt;"",BK33&lt;&gt;""),RANK(BR33,BR$11:INDIRECT(BR$7,FALSE)),"")</f>
        <v>17</v>
      </c>
      <c r="BT33" s="119"/>
      <c r="BU33" s="5">
        <v>53.08</v>
      </c>
      <c r="BV33" s="113">
        <f t="shared" si="97"/>
        <v>53.08</v>
      </c>
      <c r="BW33" s="21"/>
      <c r="BX33" s="114">
        <f t="shared" si="121"/>
        <v>861.5</v>
      </c>
      <c r="BY33" s="114">
        <f t="shared" si="122"/>
        <v>861.5</v>
      </c>
      <c r="BZ33" s="115">
        <f ca="1">IF(OR(BU33&lt;&gt;"",BW33&lt;&gt;""),RANK(BY33,BY$11:INDIRECT(BY$7,FALSE)),"")</f>
        <v>9</v>
      </c>
      <c r="CA33" s="116"/>
      <c r="CB33" s="117">
        <f t="shared" si="10"/>
        <v>3400.2999999999993</v>
      </c>
      <c r="CC33" s="120">
        <f>IF(AND($F$8&lt;6,CB33&lt;&gt;""),HLOOKUP(MATCH(ET33,EZ33:FD33,0),Discards,1,FALSE),"")</f>
        <v>1</v>
      </c>
      <c r="CD33" s="117">
        <f t="shared" si="123"/>
        <v>3400.2999999999993</v>
      </c>
      <c r="CE33" s="118">
        <f ca="1">IF(OR(BU33&lt;&gt;"",BW33&lt;&gt;""),RANK(CD33,CD$11:INDIRECT(CD$7,FALSE)),"")</f>
        <v>16</v>
      </c>
      <c r="CF33" s="119"/>
      <c r="CG33" s="5">
        <v>52.8</v>
      </c>
      <c r="CH33" s="113">
        <f t="shared" si="98"/>
        <v>52.8</v>
      </c>
      <c r="CI33" s="21"/>
      <c r="CJ33" s="114">
        <f t="shared" si="124"/>
        <v>934.7</v>
      </c>
      <c r="CK33" s="114">
        <f t="shared" si="125"/>
        <v>934.7</v>
      </c>
      <c r="CL33" s="115">
        <f ca="1">IF(OR(CG33&lt;&gt;"",CI33&lt;&gt;""),RANK(CK33,CK$11:INDIRECT(CK$7,FALSE)),"")</f>
        <v>3</v>
      </c>
      <c r="CM33" s="116"/>
      <c r="CN33" s="117">
        <f t="shared" si="12"/>
        <v>4334.999999999999</v>
      </c>
      <c r="CO33" s="120">
        <f>IF(AND($F$8&lt;7,CN33&lt;&gt;""),HLOOKUP(MATCH(EU33,EZ33:FE33,0),Discards,1,FALSE),"")</f>
        <v>1</v>
      </c>
      <c r="CP33" s="117">
        <f t="shared" si="126"/>
        <v>4334.999999999999</v>
      </c>
      <c r="CQ33" s="118">
        <f ca="1">IF(OR(CG33&lt;&gt;"",CI33&lt;&gt;""),RANK(CP33,CP$11:INDIRECT(CP$7,FALSE)),"")</f>
        <v>14</v>
      </c>
      <c r="CR33" s="119"/>
      <c r="CS33" s="5">
        <v>52.59</v>
      </c>
      <c r="CT33" s="113">
        <f t="shared" si="99"/>
        <v>52.59</v>
      </c>
      <c r="CU33" s="21"/>
      <c r="CV33" s="114">
        <f t="shared" si="127"/>
        <v>760.2</v>
      </c>
      <c r="CW33" s="114">
        <f t="shared" si="128"/>
        <v>760.2</v>
      </c>
      <c r="CX33" s="115">
        <f ca="1">IF(OR(CS33&lt;&gt;"",CU33&lt;&gt;""),RANK(CW33,CW$11:INDIRECT(CW$7,FALSE)),"")</f>
        <v>12</v>
      </c>
      <c r="CY33" s="116"/>
      <c r="CZ33" s="117">
        <f t="shared" si="14"/>
        <v>5148.999999999999</v>
      </c>
      <c r="DA33" s="120">
        <f>IF(AND($F$8&lt;8,CZ33&lt;&gt;""),HLOOKUP(MATCH(EV33,EZ33:FF33,0),Discards,1,FALSE),"")</f>
        <v>7</v>
      </c>
      <c r="DB33" s="117">
        <f t="shared" si="129"/>
        <v>5148.999999999999</v>
      </c>
      <c r="DC33" s="118">
        <f ca="1">IF(OR(CS33&lt;&gt;"",CU33&lt;&gt;""),RANK(DB33,DB$11:INDIRECT(DB$7,FALSE)),"")</f>
        <v>13</v>
      </c>
      <c r="DD33" s="119"/>
      <c r="DE33" s="5">
        <v>49.53</v>
      </c>
      <c r="DF33" s="113">
        <f t="shared" si="100"/>
        <v>49.53</v>
      </c>
      <c r="DG33" s="21"/>
      <c r="DH33" s="114">
        <f t="shared" si="130"/>
        <v>871.2</v>
      </c>
      <c r="DI33" s="114">
        <f t="shared" si="131"/>
        <v>871.2</v>
      </c>
      <c r="DJ33" s="115">
        <f ca="1">IF(OR(DE33&lt;&gt;"",DG33&lt;&gt;""),RANK(DI33,DI$11:INDIRECT(DI$7,FALSE)),"")</f>
        <v>6</v>
      </c>
      <c r="DK33" s="116"/>
      <c r="DL33" s="117">
        <f t="shared" si="16"/>
        <v>6020.199999999999</v>
      </c>
      <c r="DM33" s="120">
        <f>IF(AND($F$8&lt;9,DL33&lt;&gt;""),HLOOKUP(MATCH(EW33,EZ33:FG33,0),Discards,1,FALSE),"")</f>
        <v>7</v>
      </c>
      <c r="DN33" s="117">
        <f t="shared" si="132"/>
        <v>6020.199999999999</v>
      </c>
      <c r="DO33" s="118">
        <f ca="1">IF(OR(DE33&lt;&gt;"",DG33&lt;&gt;""),RANK(DN33,DN$11:INDIRECT(DN$7,FALSE)),"")</f>
        <v>11</v>
      </c>
      <c r="DP33" s="119"/>
      <c r="DQ33" s="5">
        <v>53.47</v>
      </c>
      <c r="DR33" s="113">
        <f t="shared" si="101"/>
        <v>53.47</v>
      </c>
      <c r="DS33" s="21"/>
      <c r="DT33" s="114">
        <f t="shared" si="133"/>
        <v>814.7</v>
      </c>
      <c r="DU33" s="114">
        <f t="shared" si="134"/>
        <v>814.7</v>
      </c>
      <c r="DV33" s="115">
        <f ca="1">IF(OR(DQ33&lt;&gt;"",DS33&lt;&gt;""),RANK(DU33,DU$11:INDIRECT(DU$7,FALSE)),"")</f>
        <v>16</v>
      </c>
      <c r="DW33" s="116"/>
      <c r="DX33" s="117">
        <f t="shared" si="18"/>
        <v>6834.899999999999</v>
      </c>
      <c r="DY33" s="120">
        <f>IF(AND($F$8&lt;10,DX33&lt;&gt;""),HLOOKUP(MATCH(EX33,EZ33:FH33,0),Discards,1,FALSE),"")</f>
        <v>7</v>
      </c>
      <c r="DZ33" s="117">
        <f t="shared" si="135"/>
        <v>6834.899999999999</v>
      </c>
      <c r="EA33" s="118">
        <f ca="1">IF(OR(DQ33&lt;&gt;"",DS33&lt;&gt;""),RANK(DZ33,DZ$11:INDIRECT(DZ$7,FALSE)),"")</f>
        <v>11</v>
      </c>
      <c r="EB33" s="119"/>
      <c r="EC33" s="5"/>
      <c r="ED33" s="113">
        <f t="shared" si="102"/>
      </c>
      <c r="EE33" s="21"/>
      <c r="EF33" s="114">
        <f t="shared" si="136"/>
      </c>
      <c r="EG33" s="114">
        <f t="shared" si="137"/>
        <v>0</v>
      </c>
      <c r="EH33" s="115">
        <f ca="1">IF(OR(EC33&lt;&gt;"",EE33&lt;&gt;""),RANK(EG33,EG$11:INDIRECT(EG$7,FALSE)),"")</f>
      </c>
      <c r="EI33" s="116"/>
      <c r="EJ33" s="117">
        <f t="shared" si="20"/>
      </c>
      <c r="EK33" s="120">
        <f>IF(AND($F$8&lt;11,EJ33&lt;&gt;""),HLOOKUP(MATCH(EY33,EZ33:FI33,0),Discards,1,FALSE),"")</f>
      </c>
      <c r="EL33" s="117">
        <f t="shared" si="138"/>
        <v>0</v>
      </c>
      <c r="EM33" s="118">
        <f ca="1">IF(OR(EC33&lt;&gt;"",EE33&lt;&gt;""),RANK(EL33,EL$11:INDIRECT(EL$7,FALSE)),"")</f>
      </c>
      <c r="EN33" s="121"/>
      <c r="EP33" s="112">
        <f t="shared" si="139"/>
        <v>1</v>
      </c>
      <c r="EQ33" s="28">
        <f>MIN($EZ33:FA33)</f>
        <v>814</v>
      </c>
      <c r="ER33" s="28">
        <f>MIN($EZ33:FB33)</f>
        <v>814</v>
      </c>
      <c r="ES33" s="28">
        <f>MIN($EZ33:FC33)</f>
        <v>814</v>
      </c>
      <c r="ET33" s="28">
        <f>MIN($EZ33:FD33)</f>
        <v>814</v>
      </c>
      <c r="EU33" s="28">
        <f>MIN($EZ33:FE33)</f>
        <v>814</v>
      </c>
      <c r="EV33" s="28">
        <f>MIN($EZ33:FF33)</f>
        <v>760.2</v>
      </c>
      <c r="EW33" s="28">
        <f>MIN($EZ33:FG33)</f>
        <v>760.2</v>
      </c>
      <c r="EX33" s="28">
        <f>MIN($EZ33:FH33)</f>
        <v>760.2</v>
      </c>
      <c r="EY33" s="28">
        <f>MIN($EZ33:FI33)</f>
        <v>760.2</v>
      </c>
      <c r="EZ33" s="28">
        <f t="shared" si="21"/>
        <v>814</v>
      </c>
      <c r="FA33" s="28">
        <f t="shared" si="22"/>
        <v>837</v>
      </c>
      <c r="FB33" s="28">
        <f t="shared" si="23"/>
        <v>839.7</v>
      </c>
      <c r="FC33" s="28">
        <f t="shared" si="24"/>
        <v>862.1</v>
      </c>
      <c r="FD33" s="28">
        <f t="shared" si="25"/>
        <v>861.5</v>
      </c>
      <c r="FE33" s="28">
        <f t="shared" si="26"/>
        <v>934.7</v>
      </c>
      <c r="FF33" s="28">
        <f t="shared" si="27"/>
        <v>760.2</v>
      </c>
      <c r="FG33" s="28">
        <f t="shared" si="28"/>
        <v>871.2</v>
      </c>
      <c r="FH33" s="28">
        <f t="shared" si="29"/>
        <v>814.7</v>
      </c>
      <c r="FI33" s="28">
        <f t="shared" si="30"/>
      </c>
      <c r="FL33" s="26">
        <f t="shared" si="140"/>
        <v>255000000</v>
      </c>
      <c r="FM33" s="26">
        <f t="shared" si="141"/>
        <v>255000</v>
      </c>
      <c r="FN33" s="26">
        <f t="shared" si="142"/>
        <v>255</v>
      </c>
      <c r="FO33" s="26">
        <f>IF(C33&lt;&gt;"",SUM(FL33:FN33),0)</f>
        <v>255255255</v>
      </c>
      <c r="FP33" s="26">
        <f ca="1">IF(FO33&gt;0,SMALL($FO$11:INDIRECT($FO$7,FALSE),A33),0)</f>
        <v>255255255</v>
      </c>
      <c r="FQ33" s="26">
        <f t="shared" si="143"/>
        <v>255</v>
      </c>
      <c r="FR33" s="26">
        <f t="shared" si="144"/>
        <v>255</v>
      </c>
      <c r="FS33" s="26">
        <f t="shared" si="145"/>
        <v>255</v>
      </c>
      <c r="FT33" s="26">
        <f t="shared" si="146"/>
      </c>
      <c r="FU33" s="26">
        <f t="shared" si="147"/>
        <v>24</v>
      </c>
      <c r="FV33" s="28">
        <f t="shared" si="31"/>
      </c>
      <c r="FW33" s="26">
        <f t="shared" si="159"/>
      </c>
      <c r="FX33" s="28">
        <f t="shared" si="148"/>
      </c>
      <c r="FY33" s="26">
        <f ca="1">IF(FX33&lt;&gt;"",RANK(FX33,FX$11:INDIRECT(FX$7,FALSE)),"")</f>
      </c>
      <c r="FZ33" s="26">
        <f t="shared" si="149"/>
      </c>
      <c r="GA33" s="26">
        <f t="shared" si="81"/>
      </c>
      <c r="GC33" s="27">
        <f t="shared" si="32"/>
      </c>
      <c r="GD33" s="27">
        <f t="shared" si="33"/>
      </c>
      <c r="GE33" s="27">
        <f t="shared" si="82"/>
      </c>
      <c r="GF33" s="27">
        <f t="shared" si="150"/>
      </c>
      <c r="GG33" s="27">
        <f t="shared" si="151"/>
        <v>0</v>
      </c>
      <c r="GH33" s="26">
        <f t="shared" si="152"/>
        <v>0</v>
      </c>
      <c r="GI33" s="26">
        <f t="shared" si="153"/>
        <v>0</v>
      </c>
      <c r="GJ33" s="26">
        <f t="shared" si="154"/>
        <v>0</v>
      </c>
      <c r="GK33" s="26">
        <f t="shared" si="155"/>
      </c>
      <c r="GL33" s="28">
        <f t="shared" si="156"/>
      </c>
      <c r="GM33" s="26">
        <f t="shared" si="157"/>
      </c>
    </row>
    <row r="34" spans="1:195" ht="12.75">
      <c r="A34" s="132">
        <f t="shared" si="158"/>
        <v>24</v>
      </c>
      <c r="B34" s="133"/>
      <c r="C34" s="134" t="s">
        <v>150</v>
      </c>
      <c r="D34" s="135" t="s">
        <v>151</v>
      </c>
      <c r="E34" s="134" t="s">
        <v>93</v>
      </c>
      <c r="F34" s="134"/>
      <c r="G34" s="149"/>
      <c r="H34" s="136">
        <f t="shared" si="103"/>
      </c>
      <c r="I34" s="137">
        <f t="shared" si="104"/>
        <v>6798.599999999999</v>
      </c>
      <c r="J34" s="137">
        <f>AD34+AO34+BA34+BM34+BY34+CK34+CW34+DI34+DU34+EG34-(MIN(EZ34:FI34)*$EY$2)</f>
        <v>6798.599999999999</v>
      </c>
      <c r="K34" s="140">
        <f ca="1">IF(I34&lt;&gt;"",RANK(I34,J$11:INDIRECT(J$7,FALSE)),"")</f>
        <v>13</v>
      </c>
      <c r="L34" s="137">
        <f t="shared" si="105"/>
      </c>
      <c r="M34" s="137">
        <f t="shared" si="106"/>
        <v>0</v>
      </c>
      <c r="N34" s="138">
        <f t="shared" si="1"/>
      </c>
      <c r="O34" s="159"/>
      <c r="P34" s="160">
        <f t="shared" si="38"/>
      </c>
      <c r="Q34" s="161"/>
      <c r="R34" s="162">
        <f t="shared" si="39"/>
      </c>
      <c r="S34" s="162">
        <f t="shared" si="40"/>
        <v>0</v>
      </c>
      <c r="T34" s="163">
        <f ca="1">IF(OR(O34&lt;&gt;"",Q34&lt;&gt;""),RANK(S34,S$11:INDIRECT(S$7,FALSE)),"")</f>
      </c>
      <c r="U34" s="164"/>
      <c r="V34" s="165"/>
      <c r="W34" s="165"/>
      <c r="X34" s="166"/>
      <c r="Y34" s="167"/>
      <c r="Z34" s="228">
        <v>61.7</v>
      </c>
      <c r="AA34" s="113">
        <f t="shared" si="107"/>
        <v>61.7</v>
      </c>
      <c r="AB34" s="21"/>
      <c r="AC34" s="114">
        <f t="shared" si="108"/>
        <v>886.5</v>
      </c>
      <c r="AD34" s="114">
        <f t="shared" si="109"/>
        <v>886.5</v>
      </c>
      <c r="AE34" s="115">
        <f ca="1">IF(OR(Z34&lt;&gt;"",AB34&lt;&gt;""),RANK(AD34,AD$11:INDIRECT(AD$7,FALSE)),"")</f>
        <v>10</v>
      </c>
      <c r="AF34" s="116"/>
      <c r="AG34" s="117">
        <f t="shared" si="110"/>
        <v>886.5</v>
      </c>
      <c r="AH34" s="117">
        <f t="shared" si="111"/>
        <v>886.5</v>
      </c>
      <c r="AI34" s="118">
        <f ca="1">IF(OR(Z34&lt;&gt;"",AB34&lt;&gt;""),RANK(AH34,AH$11:INDIRECT(AH$7,FALSE)),"")</f>
        <v>10</v>
      </c>
      <c r="AJ34" s="119"/>
      <c r="AK34" s="5">
        <v>62.06</v>
      </c>
      <c r="AL34" s="113">
        <f t="shared" si="112"/>
        <v>62.06</v>
      </c>
      <c r="AM34" s="21"/>
      <c r="AN34" s="114">
        <f t="shared" si="113"/>
        <v>840</v>
      </c>
      <c r="AO34" s="114">
        <f t="shared" si="114"/>
        <v>840</v>
      </c>
      <c r="AP34" s="115">
        <f ca="1">IF(OR(AK34&lt;&gt;"",AM34&lt;&gt;""),RANK(AO34,AO$11:INDIRECT(AO$7,FALSE)),"")</f>
        <v>13</v>
      </c>
      <c r="AQ34" s="116"/>
      <c r="AR34" s="117">
        <f t="shared" si="3"/>
        <v>1726.5</v>
      </c>
      <c r="AS34" s="120">
        <f>IF(AND($F$8&lt;3,AR34&lt;&gt;""),HLOOKUP(MATCH(EQ34,EZ34:FA34,0),Discards,1,FALSE),"")</f>
      </c>
      <c r="AT34" s="117">
        <f t="shared" si="4"/>
        <v>1726.5</v>
      </c>
      <c r="AU34" s="118">
        <f ca="1">IF(OR(AK34&lt;&gt;"",AM34&lt;&gt;""),RANK(AT34,AT$11:INDIRECT(AT$7,FALSE)),"")</f>
        <v>10</v>
      </c>
      <c r="AV34" s="119"/>
      <c r="AW34" s="5">
        <v>47.16</v>
      </c>
      <c r="AX34" s="113">
        <f t="shared" si="95"/>
        <v>47.16</v>
      </c>
      <c r="AY34" s="21"/>
      <c r="AZ34" s="114">
        <f t="shared" si="115"/>
        <v>1000</v>
      </c>
      <c r="BA34" s="114">
        <f t="shared" si="116"/>
        <v>1000</v>
      </c>
      <c r="BB34" s="115">
        <f ca="1">IF(OR(AW34&lt;&gt;"",AY34&lt;&gt;""),RANK(BA34,BA$11:INDIRECT(BA$7,FALSE)),"")</f>
        <v>1</v>
      </c>
      <c r="BC34" s="116"/>
      <c r="BD34" s="117">
        <f t="shared" si="6"/>
        <v>2726.5</v>
      </c>
      <c r="BE34" s="120">
        <f>IF(AND($F$8&lt;4,BD34&lt;&gt;""),HLOOKUP(MATCH(ER34,EZ34:FB34,0),Discards,1,FALSE),"")</f>
      </c>
      <c r="BF34" s="117">
        <f t="shared" si="117"/>
        <v>2726.5</v>
      </c>
      <c r="BG34" s="118">
        <f ca="1">IF(OR(AW34&lt;&gt;"",AY34&lt;&gt;""),RANK(BF34,BF$11:INDIRECT(BF$7,FALSE)),"")</f>
        <v>2</v>
      </c>
      <c r="BH34" s="119"/>
      <c r="BI34" s="5">
        <v>54.16</v>
      </c>
      <c r="BJ34" s="113">
        <f t="shared" si="96"/>
        <v>54.16</v>
      </c>
      <c r="BK34" s="21"/>
      <c r="BL34" s="114">
        <f t="shared" si="118"/>
        <v>906.4</v>
      </c>
      <c r="BM34" s="114">
        <f t="shared" si="119"/>
        <v>906.4</v>
      </c>
      <c r="BN34" s="115">
        <f ca="1">IF(OR(BI34&lt;&gt;"",BK34&lt;&gt;""),RANK(BM34,BM$11:INDIRECT(BM$7,FALSE)),"")</f>
        <v>10</v>
      </c>
      <c r="BO34" s="116"/>
      <c r="BP34" s="117">
        <f t="shared" si="8"/>
        <v>3632.9</v>
      </c>
      <c r="BQ34" s="120">
        <f>IF(AND($F$8&lt;5,BP34&lt;&gt;""),HLOOKUP(MATCH(ES34,EZ34:FC34,0),Discards,1,FALSE),"")</f>
      </c>
      <c r="BR34" s="117">
        <f t="shared" si="120"/>
        <v>3632.9</v>
      </c>
      <c r="BS34" s="118">
        <f ca="1">IF(OR(BI34&lt;&gt;"",BK34&lt;&gt;""),RANK(BR34,BR$11:INDIRECT(BR$7,FALSE)),"")</f>
        <v>3</v>
      </c>
      <c r="BT34" s="119"/>
      <c r="BU34" s="5">
        <v>56.59</v>
      </c>
      <c r="BV34" s="113">
        <f t="shared" si="97"/>
        <v>56.59</v>
      </c>
      <c r="BW34" s="21"/>
      <c r="BX34" s="114">
        <f t="shared" si="121"/>
        <v>808.1</v>
      </c>
      <c r="BY34" s="114">
        <f t="shared" si="122"/>
        <v>808.1</v>
      </c>
      <c r="BZ34" s="115">
        <f ca="1">IF(OR(BU34&lt;&gt;"",BW34&lt;&gt;""),RANK(BY34,BY$11:INDIRECT(BY$7,FALSE)),"")</f>
        <v>14</v>
      </c>
      <c r="CA34" s="116"/>
      <c r="CB34" s="117">
        <f t="shared" si="10"/>
        <v>3632.9</v>
      </c>
      <c r="CC34" s="120">
        <f>IF(AND($F$8&lt;6,CB34&lt;&gt;""),HLOOKUP(MATCH(ET34,EZ34:FD34,0),Discards,1,FALSE),"")</f>
        <v>5</v>
      </c>
      <c r="CD34" s="117">
        <f t="shared" si="123"/>
        <v>3632.9</v>
      </c>
      <c r="CE34" s="118">
        <f ca="1">IF(OR(BU34&lt;&gt;"",BW34&lt;&gt;""),RANK(CD34,CD$11:INDIRECT(CD$7,FALSE)),"")</f>
        <v>5</v>
      </c>
      <c r="CF34" s="119"/>
      <c r="CG34" s="5">
        <v>56.38</v>
      </c>
      <c r="CH34" s="113">
        <f t="shared" si="98"/>
        <v>56.38</v>
      </c>
      <c r="CI34" s="21"/>
      <c r="CJ34" s="114">
        <f t="shared" si="124"/>
        <v>875.3</v>
      </c>
      <c r="CK34" s="114">
        <f t="shared" si="125"/>
        <v>875.3</v>
      </c>
      <c r="CL34" s="115">
        <f ca="1">IF(OR(CG34&lt;&gt;"",CI34&lt;&gt;""),RANK(CK34,CK$11:INDIRECT(CK$7,FALSE)),"")</f>
        <v>9</v>
      </c>
      <c r="CM34" s="116"/>
      <c r="CN34" s="117">
        <f t="shared" si="12"/>
        <v>4508.2</v>
      </c>
      <c r="CO34" s="120">
        <f>IF(AND($F$8&lt;7,CN34&lt;&gt;""),HLOOKUP(MATCH(EU34,EZ34:FE34,0),Discards,1,FALSE),"")</f>
        <v>5</v>
      </c>
      <c r="CP34" s="117">
        <f t="shared" si="126"/>
        <v>4508.2</v>
      </c>
      <c r="CQ34" s="118">
        <f ca="1">IF(OR(CG34&lt;&gt;"",CI34&lt;&gt;""),RANK(CP34,CP$11:INDIRECT(CP$7,FALSE)),"")</f>
        <v>7</v>
      </c>
      <c r="CR34" s="119"/>
      <c r="CS34" s="5">
        <v>58.66</v>
      </c>
      <c r="CT34" s="113">
        <f t="shared" si="99"/>
        <v>58.66</v>
      </c>
      <c r="CU34" s="21"/>
      <c r="CV34" s="114">
        <f t="shared" si="127"/>
        <v>681.6</v>
      </c>
      <c r="CW34" s="114">
        <f t="shared" si="128"/>
        <v>681.6</v>
      </c>
      <c r="CX34" s="115">
        <f ca="1">IF(OR(CS34&lt;&gt;"",CU34&lt;&gt;""),RANK(CW34,CW$11:INDIRECT(CW$7,FALSE)),"")</f>
        <v>19</v>
      </c>
      <c r="CY34" s="116"/>
      <c r="CZ34" s="117">
        <f t="shared" si="14"/>
        <v>5316.3</v>
      </c>
      <c r="DA34" s="120">
        <f>IF(AND($F$8&lt;8,CZ34&lt;&gt;""),HLOOKUP(MATCH(EV34,EZ34:FF34,0),Discards,1,FALSE),"")</f>
        <v>7</v>
      </c>
      <c r="DB34" s="117">
        <f t="shared" si="129"/>
        <v>5316.3</v>
      </c>
      <c r="DC34" s="118">
        <f ca="1">IF(OR(CS34&lt;&gt;"",CU34&lt;&gt;""),RANK(DB34,DB$11:INDIRECT(DB$7,FALSE)),"")</f>
        <v>8</v>
      </c>
      <c r="DD34" s="119"/>
      <c r="DE34" s="5">
        <v>59.61</v>
      </c>
      <c r="DF34" s="113">
        <f t="shared" si="100"/>
        <v>59.61</v>
      </c>
      <c r="DG34" s="21"/>
      <c r="DH34" s="114">
        <f t="shared" si="130"/>
        <v>723.9</v>
      </c>
      <c r="DI34" s="114">
        <f t="shared" si="131"/>
        <v>723.9</v>
      </c>
      <c r="DJ34" s="115">
        <f ca="1">IF(OR(DE34&lt;&gt;"",DG34&lt;&gt;""),RANK(DI34,DI$11:INDIRECT(DI$7,FALSE)),"")</f>
        <v>23</v>
      </c>
      <c r="DK34" s="116"/>
      <c r="DL34" s="117">
        <f t="shared" si="16"/>
        <v>6040.2</v>
      </c>
      <c r="DM34" s="120">
        <f>IF(AND($F$8&lt;9,DL34&lt;&gt;""),HLOOKUP(MATCH(EW34,EZ34:FG34,0),Discards,1,FALSE),"")</f>
        <v>7</v>
      </c>
      <c r="DN34" s="117">
        <f t="shared" si="132"/>
        <v>6040.2</v>
      </c>
      <c r="DO34" s="118">
        <f ca="1">IF(OR(DE34&lt;&gt;"",DG34&lt;&gt;""),RANK(DN34,DN$11:INDIRECT(DN$7,FALSE)),"")</f>
        <v>9</v>
      </c>
      <c r="DP34" s="119"/>
      <c r="DQ34" s="5">
        <v>57.44</v>
      </c>
      <c r="DR34" s="113">
        <f t="shared" si="101"/>
        <v>57.44</v>
      </c>
      <c r="DS34" s="21"/>
      <c r="DT34" s="114">
        <f t="shared" si="133"/>
        <v>758.4</v>
      </c>
      <c r="DU34" s="114">
        <f t="shared" si="134"/>
        <v>758.4</v>
      </c>
      <c r="DV34" s="115">
        <f ca="1">IF(OR(DQ34&lt;&gt;"",DS34&lt;&gt;""),RANK(DU34,DU$11:INDIRECT(DU$7,FALSE)),"")</f>
        <v>23</v>
      </c>
      <c r="DW34" s="116"/>
      <c r="DX34" s="117">
        <f t="shared" si="18"/>
        <v>6798.599999999999</v>
      </c>
      <c r="DY34" s="120">
        <f>IF(AND($F$8&lt;10,DX34&lt;&gt;""),HLOOKUP(MATCH(EX34,EZ34:FH34,0),Discards,1,FALSE),"")</f>
        <v>7</v>
      </c>
      <c r="DZ34" s="117">
        <f t="shared" si="135"/>
        <v>6798.599999999999</v>
      </c>
      <c r="EA34" s="118">
        <f ca="1">IF(OR(DQ34&lt;&gt;"",DS34&lt;&gt;""),RANK(DZ34,DZ$11:INDIRECT(DZ$7,FALSE)),"")</f>
        <v>13</v>
      </c>
      <c r="EB34" s="119"/>
      <c r="EC34" s="5"/>
      <c r="ED34" s="113">
        <f t="shared" si="102"/>
      </c>
      <c r="EE34" s="21"/>
      <c r="EF34" s="114">
        <f t="shared" si="136"/>
      </c>
      <c r="EG34" s="114">
        <f t="shared" si="137"/>
        <v>0</v>
      </c>
      <c r="EH34" s="115">
        <f ca="1">IF(OR(EC34&lt;&gt;"",EE34&lt;&gt;""),RANK(EG34,EG$11:INDIRECT(EG$7,FALSE)),"")</f>
      </c>
      <c r="EI34" s="116"/>
      <c r="EJ34" s="117">
        <f t="shared" si="20"/>
      </c>
      <c r="EK34" s="120">
        <f>IF(AND($F$8&lt;11,EJ34&lt;&gt;""),HLOOKUP(MATCH(EY34,EZ34:FI34,0),Discards,1,FALSE),"")</f>
      </c>
      <c r="EL34" s="117">
        <f t="shared" si="138"/>
        <v>0</v>
      </c>
      <c r="EM34" s="118">
        <f ca="1">IF(OR(EC34&lt;&gt;"",EE34&lt;&gt;""),RANK(EL34,EL$11:INDIRECT(EL$7,FALSE)),"")</f>
      </c>
      <c r="EN34" s="121"/>
      <c r="EP34" s="112">
        <f t="shared" si="139"/>
        <v>1</v>
      </c>
      <c r="EQ34" s="28">
        <f>MIN($EZ34:FA34)</f>
        <v>840</v>
      </c>
      <c r="ER34" s="28">
        <f>MIN($EZ34:FB34)</f>
        <v>840</v>
      </c>
      <c r="ES34" s="28">
        <f>MIN($EZ34:FC34)</f>
        <v>840</v>
      </c>
      <c r="ET34" s="28">
        <f>MIN($EZ34:FD34)</f>
        <v>808.1</v>
      </c>
      <c r="EU34" s="28">
        <f>MIN($EZ34:FE34)</f>
        <v>808.1</v>
      </c>
      <c r="EV34" s="28">
        <f>MIN($EZ34:FF34)</f>
        <v>681.6</v>
      </c>
      <c r="EW34" s="28">
        <f>MIN($EZ34:FG34)</f>
        <v>681.6</v>
      </c>
      <c r="EX34" s="28">
        <f>MIN($EZ34:FH34)</f>
        <v>681.6</v>
      </c>
      <c r="EY34" s="28">
        <f>MIN($EZ34:FI34)</f>
        <v>681.6</v>
      </c>
      <c r="EZ34" s="28">
        <f t="shared" si="21"/>
        <v>886.5</v>
      </c>
      <c r="FA34" s="28">
        <f t="shared" si="22"/>
        <v>840</v>
      </c>
      <c r="FB34" s="28">
        <f t="shared" si="23"/>
        <v>1000</v>
      </c>
      <c r="FC34" s="28">
        <f t="shared" si="24"/>
        <v>906.4</v>
      </c>
      <c r="FD34" s="28">
        <f t="shared" si="25"/>
        <v>808.1</v>
      </c>
      <c r="FE34" s="28">
        <f t="shared" si="26"/>
        <v>875.3</v>
      </c>
      <c r="FF34" s="28">
        <f t="shared" si="27"/>
        <v>681.6</v>
      </c>
      <c r="FG34" s="28">
        <f t="shared" si="28"/>
        <v>723.9</v>
      </c>
      <c r="FH34" s="28">
        <f t="shared" si="29"/>
        <v>758.4</v>
      </c>
      <c r="FI34" s="28">
        <f t="shared" si="30"/>
      </c>
      <c r="FL34" s="26">
        <f t="shared" si="140"/>
        <v>255000000</v>
      </c>
      <c r="FM34" s="26">
        <f t="shared" si="141"/>
        <v>255000</v>
      </c>
      <c r="FN34" s="26">
        <f t="shared" si="142"/>
        <v>255</v>
      </c>
      <c r="FO34" s="26">
        <f>IF(C34&lt;&gt;"",SUM(FL34:FN34),0)</f>
        <v>255255255</v>
      </c>
      <c r="FP34" s="26">
        <f ca="1">IF(FO34&gt;0,SMALL($FO$11:INDIRECT($FO$7,FALSE),A34),0)</f>
        <v>255255255</v>
      </c>
      <c r="FQ34" s="26">
        <f t="shared" si="143"/>
        <v>255</v>
      </c>
      <c r="FR34" s="26">
        <f t="shared" si="144"/>
        <v>255</v>
      </c>
      <c r="FS34" s="26">
        <f t="shared" si="145"/>
        <v>255</v>
      </c>
      <c r="FT34" s="26">
        <f t="shared" si="146"/>
      </c>
      <c r="FU34" s="26">
        <f t="shared" si="147"/>
        <v>24</v>
      </c>
      <c r="FV34" s="28">
        <f t="shared" si="31"/>
      </c>
      <c r="FW34" s="26">
        <f t="shared" si="159"/>
      </c>
      <c r="FX34" s="28">
        <f t="shared" si="148"/>
      </c>
      <c r="FY34" s="26">
        <f ca="1">IF(FX34&lt;&gt;"",RANK(FX34,FX$11:INDIRECT(FX$7,FALSE)),"")</f>
      </c>
      <c r="FZ34" s="26">
        <f t="shared" si="149"/>
      </c>
      <c r="GA34" s="26">
        <f t="shared" si="81"/>
      </c>
      <c r="GC34" s="27">
        <f t="shared" si="32"/>
      </c>
      <c r="GD34" s="27">
        <f t="shared" si="33"/>
      </c>
      <c r="GE34" s="27">
        <f t="shared" si="82"/>
      </c>
      <c r="GF34" s="27">
        <f t="shared" si="150"/>
      </c>
      <c r="GG34" s="27">
        <f t="shared" si="151"/>
        <v>0</v>
      </c>
      <c r="GH34" s="26">
        <f t="shared" si="152"/>
        <v>0</v>
      </c>
      <c r="GI34" s="26">
        <f t="shared" si="153"/>
        <v>0</v>
      </c>
      <c r="GJ34" s="26">
        <f t="shared" si="154"/>
        <v>0</v>
      </c>
      <c r="GK34" s="26">
        <f t="shared" si="155"/>
      </c>
      <c r="GL34" s="28">
        <f t="shared" si="156"/>
      </c>
      <c r="GM34" s="26">
        <f t="shared" si="157"/>
      </c>
    </row>
    <row r="35" spans="1:195" ht="12.75">
      <c r="A35" s="16">
        <f t="shared" si="158"/>
        <v>25</v>
      </c>
      <c r="B35" s="17"/>
      <c r="C35" s="18" t="s">
        <v>152</v>
      </c>
      <c r="D35" s="19" t="s">
        <v>153</v>
      </c>
      <c r="E35" s="18" t="s">
        <v>154</v>
      </c>
      <c r="F35" s="18"/>
      <c r="G35" s="148"/>
      <c r="H35" s="122">
        <f t="shared" si="103"/>
      </c>
      <c r="I35" s="30">
        <f t="shared" si="104"/>
        <v>6076.5</v>
      </c>
      <c r="J35" s="30">
        <f>AD35+AO35+BA35+BM35+BY35+CK35+CW35+DI35+DU35+EG35-(MIN(EZ35:FI35)*$EY$2)</f>
        <v>6076.5</v>
      </c>
      <c r="K35" s="139">
        <f ca="1">IF(I35&lt;&gt;"",RANK(I35,J$11:INDIRECT(J$7,FALSE)),"")</f>
        <v>25</v>
      </c>
      <c r="L35" s="102">
        <f t="shared" si="105"/>
      </c>
      <c r="M35" s="102">
        <f t="shared" si="106"/>
        <v>0</v>
      </c>
      <c r="N35" s="51">
        <f t="shared" si="1"/>
      </c>
      <c r="O35" s="150"/>
      <c r="P35" s="151">
        <f t="shared" si="38"/>
      </c>
      <c r="Q35" s="152"/>
      <c r="R35" s="153">
        <f t="shared" si="39"/>
      </c>
      <c r="S35" s="153">
        <f t="shared" si="40"/>
        <v>0</v>
      </c>
      <c r="T35" s="154">
        <f ca="1">IF(OR(O35&lt;&gt;"",Q35&lt;&gt;""),RANK(S35,S$11:INDIRECT(S$7,FALSE)),"")</f>
      </c>
      <c r="U35" s="155"/>
      <c r="V35" s="156"/>
      <c r="W35" s="156"/>
      <c r="X35" s="157"/>
      <c r="Y35" s="158"/>
      <c r="Z35" s="227">
        <v>74.23</v>
      </c>
      <c r="AA35" s="103">
        <f t="shared" si="107"/>
        <v>74.23</v>
      </c>
      <c r="AB35" s="20"/>
      <c r="AC35" s="104">
        <f t="shared" si="108"/>
        <v>736.9</v>
      </c>
      <c r="AD35" s="104">
        <f t="shared" si="109"/>
        <v>736.9</v>
      </c>
      <c r="AE35" s="105">
        <f ca="1">IF(OR(Z35&lt;&gt;"",AB35&lt;&gt;""),RANK(AD35,AD$11:INDIRECT(AD$7,FALSE)),"")</f>
        <v>24</v>
      </c>
      <c r="AF35" s="106"/>
      <c r="AG35" s="107">
        <f t="shared" si="110"/>
        <v>736.9</v>
      </c>
      <c r="AH35" s="107">
        <f t="shared" si="111"/>
        <v>736.9</v>
      </c>
      <c r="AI35" s="108">
        <f ca="1">IF(OR(Z35&lt;&gt;"",AB35&lt;&gt;""),RANK(AH35,AH$11:INDIRECT(AH$7,FALSE)),"")</f>
        <v>24</v>
      </c>
      <c r="AJ35" s="109"/>
      <c r="AK35" s="4">
        <v>70.85</v>
      </c>
      <c r="AL35" s="103">
        <f t="shared" si="112"/>
        <v>70.85</v>
      </c>
      <c r="AM35" s="20"/>
      <c r="AN35" s="104">
        <f t="shared" si="113"/>
        <v>735.8</v>
      </c>
      <c r="AO35" s="104">
        <f t="shared" si="114"/>
        <v>735.8</v>
      </c>
      <c r="AP35" s="105">
        <f ca="1">IF(OR(AK35&lt;&gt;"",AM35&lt;&gt;""),RANK(AO35,AO$11:INDIRECT(AO$7,FALSE)),"")</f>
        <v>24</v>
      </c>
      <c r="AQ35" s="106"/>
      <c r="AR35" s="107">
        <f t="shared" si="3"/>
        <v>1472.6999999999998</v>
      </c>
      <c r="AS35" s="110">
        <f>IF(AND($F$8&lt;3,AR35&lt;&gt;""),HLOOKUP(MATCH(EQ35,EZ35:FA35,0),Discards,1,FALSE),"")</f>
      </c>
      <c r="AT35" s="107">
        <f t="shared" si="4"/>
        <v>1472.6999999999998</v>
      </c>
      <c r="AU35" s="108">
        <f ca="1">IF(OR(AK35&lt;&gt;"",AM35&lt;&gt;""),RANK(AT35,AT$11:INDIRECT(AT$7,FALSE)),"")</f>
        <v>25</v>
      </c>
      <c r="AV35" s="109"/>
      <c r="AW35" s="4">
        <v>58.7</v>
      </c>
      <c r="AX35" s="103">
        <f t="shared" si="95"/>
        <v>58.7</v>
      </c>
      <c r="AY35" s="20"/>
      <c r="AZ35" s="104">
        <f t="shared" si="115"/>
        <v>803.4</v>
      </c>
      <c r="BA35" s="104">
        <f t="shared" si="116"/>
        <v>803.4</v>
      </c>
      <c r="BB35" s="105">
        <f ca="1">IF(OR(AW35&lt;&gt;"",AY35&lt;&gt;""),RANK(BA35,BA$11:INDIRECT(BA$7,FALSE)),"")</f>
        <v>18</v>
      </c>
      <c r="BC35" s="106"/>
      <c r="BD35" s="107">
        <f t="shared" si="6"/>
        <v>2276.1</v>
      </c>
      <c r="BE35" s="110">
        <f>IF(AND($F$8&lt;4,BD35&lt;&gt;""),HLOOKUP(MATCH(ER35,EZ35:FB35,0),Discards,1,FALSE),"")</f>
      </c>
      <c r="BF35" s="107">
        <f t="shared" si="117"/>
        <v>2276.1</v>
      </c>
      <c r="BG35" s="108">
        <f ca="1">IF(OR(AW35&lt;&gt;"",AY35&lt;&gt;""),RANK(BF35,BF$11:INDIRECT(BF$7,FALSE)),"")</f>
        <v>25</v>
      </c>
      <c r="BH35" s="109"/>
      <c r="BI35" s="4">
        <v>58.78</v>
      </c>
      <c r="BJ35" s="103">
        <f t="shared" si="96"/>
        <v>58.78</v>
      </c>
      <c r="BK35" s="20"/>
      <c r="BL35" s="104">
        <f t="shared" si="118"/>
        <v>835.1</v>
      </c>
      <c r="BM35" s="104">
        <f t="shared" si="119"/>
        <v>835.1</v>
      </c>
      <c r="BN35" s="105">
        <f ca="1">IF(OR(BI35&lt;&gt;"",BK35&lt;&gt;""),RANK(BM35,BM$11:INDIRECT(BM$7,FALSE)),"")</f>
        <v>21</v>
      </c>
      <c r="BO35" s="106"/>
      <c r="BP35" s="107">
        <f t="shared" si="8"/>
        <v>3111.2</v>
      </c>
      <c r="BQ35" s="110">
        <f>IF(AND($F$8&lt;5,BP35&lt;&gt;""),HLOOKUP(MATCH(ES35,EZ35:FC35,0),Discards,1,FALSE),"")</f>
      </c>
      <c r="BR35" s="107">
        <f t="shared" si="120"/>
        <v>3111.2</v>
      </c>
      <c r="BS35" s="108">
        <f ca="1">IF(OR(BI35&lt;&gt;"",BK35&lt;&gt;""),RANK(BR35,BR$11:INDIRECT(BR$7,FALSE)),"")</f>
        <v>24</v>
      </c>
      <c r="BT35" s="109"/>
      <c r="BU35" s="4">
        <v>81.61</v>
      </c>
      <c r="BV35" s="103">
        <f t="shared" si="97"/>
        <v>81.61</v>
      </c>
      <c r="BW35" s="20"/>
      <c r="BX35" s="104">
        <f t="shared" si="121"/>
        <v>560.3</v>
      </c>
      <c r="BY35" s="104">
        <f t="shared" si="122"/>
        <v>560.3</v>
      </c>
      <c r="BZ35" s="105">
        <f ca="1">IF(OR(BU35&lt;&gt;"",BW35&lt;&gt;""),RANK(BY35,BY$11:INDIRECT(BY$7,FALSE)),"")</f>
        <v>26</v>
      </c>
      <c r="CA35" s="106"/>
      <c r="CB35" s="107">
        <f t="shared" si="10"/>
        <v>3111.2</v>
      </c>
      <c r="CC35" s="110">
        <f>IF(AND($F$8&lt;6,CB35&lt;&gt;""),HLOOKUP(MATCH(ET35,EZ35:FD35,0),Discards,1,FALSE),"")</f>
        <v>5</v>
      </c>
      <c r="CD35" s="107">
        <f t="shared" si="123"/>
        <v>3111.2</v>
      </c>
      <c r="CE35" s="108">
        <f ca="1">IF(OR(BU35&lt;&gt;"",BW35&lt;&gt;""),RANK(CD35,CD$11:INDIRECT(CD$7,FALSE)),"")</f>
        <v>25</v>
      </c>
      <c r="CF35" s="109"/>
      <c r="CG35" s="4">
        <v>65.85</v>
      </c>
      <c r="CH35" s="103">
        <f t="shared" si="98"/>
        <v>65.85</v>
      </c>
      <c r="CI35" s="20"/>
      <c r="CJ35" s="104">
        <f t="shared" si="124"/>
        <v>749.4</v>
      </c>
      <c r="CK35" s="104">
        <f t="shared" si="125"/>
        <v>749.4</v>
      </c>
      <c r="CL35" s="105">
        <f ca="1">IF(OR(CG35&lt;&gt;"",CI35&lt;&gt;""),RANK(CK35,CK$11:INDIRECT(CK$7,FALSE)),"")</f>
        <v>23</v>
      </c>
      <c r="CM35" s="106"/>
      <c r="CN35" s="107">
        <f t="shared" si="12"/>
        <v>3860.5999999999995</v>
      </c>
      <c r="CO35" s="110">
        <f>IF(AND($F$8&lt;7,CN35&lt;&gt;""),HLOOKUP(MATCH(EU35,EZ35:FE35,0),Discards,1,FALSE),"")</f>
        <v>5</v>
      </c>
      <c r="CP35" s="107">
        <f t="shared" si="126"/>
        <v>3860.5999999999995</v>
      </c>
      <c r="CQ35" s="108">
        <f ca="1">IF(OR(CG35&lt;&gt;"",CI35&lt;&gt;""),RANK(CP35,CP$11:INDIRECT(CP$7,FALSE)),"")</f>
        <v>25</v>
      </c>
      <c r="CR35" s="109"/>
      <c r="CS35" s="4">
        <v>49.23</v>
      </c>
      <c r="CT35" s="103">
        <f t="shared" si="99"/>
        <v>49.23</v>
      </c>
      <c r="CU35" s="20"/>
      <c r="CV35" s="104">
        <f t="shared" si="127"/>
        <v>812.1</v>
      </c>
      <c r="CW35" s="104">
        <f t="shared" si="128"/>
        <v>812.1</v>
      </c>
      <c r="CX35" s="105">
        <f ca="1">IF(OR(CS35&lt;&gt;"",CU35&lt;&gt;""),RANK(CW35,CW$11:INDIRECT(CW$7,FALSE)),"")</f>
        <v>6</v>
      </c>
      <c r="CY35" s="106"/>
      <c r="CZ35" s="107">
        <f t="shared" si="14"/>
        <v>4672.7</v>
      </c>
      <c r="DA35" s="110">
        <f>IF(AND($F$8&lt;8,CZ35&lt;&gt;""),HLOOKUP(MATCH(EV35,EZ35:FF35,0),Discards,1,FALSE),"")</f>
        <v>5</v>
      </c>
      <c r="DB35" s="107">
        <f t="shared" si="129"/>
        <v>4672.7</v>
      </c>
      <c r="DC35" s="108">
        <f ca="1">IF(OR(CS35&lt;&gt;"",CU35&lt;&gt;""),RANK(DB35,DB$11:INDIRECT(DB$7,FALSE)),"")</f>
        <v>24</v>
      </c>
      <c r="DD35" s="109"/>
      <c r="DE35" s="4">
        <v>62.07</v>
      </c>
      <c r="DF35" s="103">
        <f t="shared" si="100"/>
        <v>62.07</v>
      </c>
      <c r="DG35" s="20"/>
      <c r="DH35" s="104">
        <f t="shared" si="130"/>
        <v>695.2</v>
      </c>
      <c r="DI35" s="104">
        <f t="shared" si="131"/>
        <v>695.2</v>
      </c>
      <c r="DJ35" s="105">
        <f ca="1">IF(OR(DE35&lt;&gt;"",DG35&lt;&gt;""),RANK(DI35,DI$11:INDIRECT(DI$7,FALSE)),"")</f>
        <v>24</v>
      </c>
      <c r="DK35" s="106"/>
      <c r="DL35" s="107">
        <f t="shared" si="16"/>
        <v>5367.9</v>
      </c>
      <c r="DM35" s="110">
        <f>IF(AND($F$8&lt;9,DL35&lt;&gt;""),HLOOKUP(MATCH(EW35,EZ35:FG35,0),Discards,1,FALSE),"")</f>
        <v>5</v>
      </c>
      <c r="DN35" s="107">
        <f t="shared" si="132"/>
        <v>5367.9</v>
      </c>
      <c r="DO35" s="108">
        <f ca="1">IF(OR(DE35&lt;&gt;"",DG35&lt;&gt;""),RANK(DN35,DN$11:INDIRECT(DN$7,FALSE)),"")</f>
        <v>25</v>
      </c>
      <c r="DP35" s="109"/>
      <c r="DQ35" s="4">
        <v>61.47</v>
      </c>
      <c r="DR35" s="103">
        <f t="shared" si="101"/>
        <v>61.47</v>
      </c>
      <c r="DS35" s="20"/>
      <c r="DT35" s="104">
        <f t="shared" si="133"/>
        <v>708.6</v>
      </c>
      <c r="DU35" s="104">
        <f t="shared" si="134"/>
        <v>708.6</v>
      </c>
      <c r="DV35" s="105">
        <f ca="1">IF(OR(DQ35&lt;&gt;"",DS35&lt;&gt;""),RANK(DU35,DU$11:INDIRECT(DU$7,FALSE)),"")</f>
        <v>24</v>
      </c>
      <c r="DW35" s="106"/>
      <c r="DX35" s="107">
        <f t="shared" si="18"/>
        <v>6076.5</v>
      </c>
      <c r="DY35" s="110">
        <f>IF(AND($F$8&lt;10,DX35&lt;&gt;""),HLOOKUP(MATCH(EX35,EZ35:FH35,0),Discards,1,FALSE),"")</f>
        <v>5</v>
      </c>
      <c r="DZ35" s="107">
        <f t="shared" si="135"/>
        <v>6076.5</v>
      </c>
      <c r="EA35" s="108">
        <f ca="1">IF(OR(DQ35&lt;&gt;"",DS35&lt;&gt;""),RANK(DZ35,DZ$11:INDIRECT(DZ$7,FALSE)),"")</f>
        <v>25</v>
      </c>
      <c r="EB35" s="109"/>
      <c r="EC35" s="4"/>
      <c r="ED35" s="103">
        <f t="shared" si="102"/>
      </c>
      <c r="EE35" s="20"/>
      <c r="EF35" s="104">
        <f t="shared" si="136"/>
      </c>
      <c r="EG35" s="104">
        <f t="shared" si="137"/>
        <v>0</v>
      </c>
      <c r="EH35" s="105">
        <f ca="1">IF(OR(EC35&lt;&gt;"",EE35&lt;&gt;""),RANK(EG35,EG$11:INDIRECT(EG$7,FALSE)),"")</f>
      </c>
      <c r="EI35" s="106"/>
      <c r="EJ35" s="107">
        <f t="shared" si="20"/>
      </c>
      <c r="EK35" s="110">
        <f>IF(AND($F$8&lt;11,EJ35&lt;&gt;""),HLOOKUP(MATCH(EY35,EZ35:FI35,0),Discards,1,FALSE),"")</f>
      </c>
      <c r="EL35" s="107">
        <f t="shared" si="138"/>
        <v>0</v>
      </c>
      <c r="EM35" s="108">
        <f ca="1">IF(OR(EC35&lt;&gt;"",EE35&lt;&gt;""),RANK(EL35,EL$11:INDIRECT(EL$7,FALSE)),"")</f>
      </c>
      <c r="EN35" s="111"/>
      <c r="EP35" s="112">
        <f t="shared" si="139"/>
        <v>1</v>
      </c>
      <c r="EQ35" s="28">
        <f>MIN($EZ35:FA35)</f>
        <v>735.8</v>
      </c>
      <c r="ER35" s="28">
        <f>MIN($EZ35:FB35)</f>
        <v>735.8</v>
      </c>
      <c r="ES35" s="28">
        <f>MIN($EZ35:FC35)</f>
        <v>735.8</v>
      </c>
      <c r="ET35" s="28">
        <f>MIN($EZ35:FD35)</f>
        <v>560.3</v>
      </c>
      <c r="EU35" s="28">
        <f>MIN($EZ35:FE35)</f>
        <v>560.3</v>
      </c>
      <c r="EV35" s="28">
        <f>MIN($EZ35:FF35)</f>
        <v>560.3</v>
      </c>
      <c r="EW35" s="28">
        <f>MIN($EZ35:FG35)</f>
        <v>560.3</v>
      </c>
      <c r="EX35" s="28">
        <f>MIN($EZ35:FH35)</f>
        <v>560.3</v>
      </c>
      <c r="EY35" s="28">
        <f>MIN($EZ35:FI35)</f>
        <v>560.3</v>
      </c>
      <c r="EZ35" s="28">
        <f t="shared" si="21"/>
        <v>736.9</v>
      </c>
      <c r="FA35" s="28">
        <f t="shared" si="22"/>
        <v>735.8</v>
      </c>
      <c r="FB35" s="28">
        <f t="shared" si="23"/>
        <v>803.4</v>
      </c>
      <c r="FC35" s="28">
        <f t="shared" si="24"/>
        <v>835.1</v>
      </c>
      <c r="FD35" s="28">
        <f t="shared" si="25"/>
        <v>560.3</v>
      </c>
      <c r="FE35" s="28">
        <f t="shared" si="26"/>
        <v>749.4</v>
      </c>
      <c r="FF35" s="28">
        <f t="shared" si="27"/>
        <v>812.1</v>
      </c>
      <c r="FG35" s="28">
        <f t="shared" si="28"/>
        <v>695.2</v>
      </c>
      <c r="FH35" s="28">
        <f t="shared" si="29"/>
        <v>708.6</v>
      </c>
      <c r="FI35" s="28">
        <f t="shared" si="30"/>
      </c>
      <c r="FL35" s="26">
        <f t="shared" si="140"/>
        <v>255000000</v>
      </c>
      <c r="FM35" s="26">
        <f t="shared" si="141"/>
        <v>255000</v>
      </c>
      <c r="FN35" s="26">
        <f t="shared" si="142"/>
        <v>255</v>
      </c>
      <c r="FO35" s="26">
        <f>IF(C35&lt;&gt;"",SUM(FL35:FN35),0)</f>
        <v>255255255</v>
      </c>
      <c r="FP35" s="26">
        <f ca="1">IF(FO35&gt;0,SMALL($FO$11:INDIRECT($FO$7,FALSE),A35),0)</f>
        <v>255255255</v>
      </c>
      <c r="FQ35" s="26">
        <f t="shared" si="143"/>
        <v>255</v>
      </c>
      <c r="FR35" s="26">
        <f t="shared" si="144"/>
        <v>255</v>
      </c>
      <c r="FS35" s="26">
        <f t="shared" si="145"/>
        <v>255</v>
      </c>
      <c r="FT35" s="26">
        <f t="shared" si="146"/>
      </c>
      <c r="FU35" s="26">
        <f t="shared" si="147"/>
        <v>24</v>
      </c>
      <c r="FV35" s="28">
        <f t="shared" si="31"/>
      </c>
      <c r="FW35" s="26">
        <f t="shared" si="159"/>
      </c>
      <c r="FX35" s="28">
        <f t="shared" si="148"/>
      </c>
      <c r="FY35" s="26">
        <f ca="1">IF(FX35&lt;&gt;"",RANK(FX35,FX$11:INDIRECT(FX$7,FALSE)),"")</f>
      </c>
      <c r="FZ35" s="26">
        <f t="shared" si="149"/>
      </c>
      <c r="GA35" s="26">
        <f t="shared" si="81"/>
      </c>
      <c r="GC35" s="27">
        <f t="shared" si="32"/>
      </c>
      <c r="GD35" s="27">
        <f t="shared" si="33"/>
      </c>
      <c r="GE35" s="27">
        <f t="shared" si="82"/>
      </c>
      <c r="GF35" s="27">
        <f t="shared" si="150"/>
      </c>
      <c r="GG35" s="27">
        <f t="shared" si="151"/>
        <v>0</v>
      </c>
      <c r="GH35" s="26">
        <f t="shared" si="152"/>
        <v>0</v>
      </c>
      <c r="GI35" s="26">
        <f t="shared" si="153"/>
        <v>0</v>
      </c>
      <c r="GJ35" s="26">
        <f t="shared" si="154"/>
        <v>0</v>
      </c>
      <c r="GK35" s="26">
        <f t="shared" si="155"/>
      </c>
      <c r="GL35" s="28">
        <f t="shared" si="156"/>
      </c>
      <c r="GM35" s="26">
        <f t="shared" si="157"/>
      </c>
    </row>
    <row r="36" spans="1:195" ht="12.75">
      <c r="A36" s="16">
        <f t="shared" si="158"/>
        <v>26</v>
      </c>
      <c r="B36" s="17"/>
      <c r="C36" s="18" t="s">
        <v>155</v>
      </c>
      <c r="D36" s="19" t="s">
        <v>107</v>
      </c>
      <c r="E36" s="18" t="s">
        <v>156</v>
      </c>
      <c r="F36" s="18"/>
      <c r="G36" s="148"/>
      <c r="H36" s="122">
        <f t="shared" si="103"/>
      </c>
      <c r="I36" s="30">
        <f t="shared" si="104"/>
        <v>6314.400000000001</v>
      </c>
      <c r="J36" s="30">
        <f>AD36+AO36+BA36+BM36+BY36+CK36+CW36+DI36+DU36+EG36-(MIN(EZ36:FI36)*$EY$2)</f>
        <v>6314.400000000001</v>
      </c>
      <c r="K36" s="139">
        <f ca="1">IF(I36&lt;&gt;"",RANK(I36,J$11:INDIRECT(J$7,FALSE)),"")</f>
        <v>23</v>
      </c>
      <c r="L36" s="102">
        <f t="shared" si="105"/>
      </c>
      <c r="M36" s="102">
        <f t="shared" si="106"/>
        <v>0</v>
      </c>
      <c r="N36" s="51">
        <f t="shared" si="1"/>
      </c>
      <c r="O36" s="150"/>
      <c r="P36" s="151">
        <f t="shared" si="38"/>
      </c>
      <c r="Q36" s="152"/>
      <c r="R36" s="153">
        <f t="shared" si="39"/>
      </c>
      <c r="S36" s="153">
        <f t="shared" si="40"/>
        <v>0</v>
      </c>
      <c r="T36" s="154">
        <f ca="1">IF(OR(O36&lt;&gt;"",Q36&lt;&gt;""),RANK(S36,S$11:INDIRECT(S$7,FALSE)),"")</f>
      </c>
      <c r="U36" s="155"/>
      <c r="V36" s="156"/>
      <c r="W36" s="156"/>
      <c r="X36" s="157"/>
      <c r="Y36" s="158"/>
      <c r="Z36" s="227">
        <v>71.11</v>
      </c>
      <c r="AA36" s="103">
        <f t="shared" si="107"/>
        <v>71.11</v>
      </c>
      <c r="AB36" s="20"/>
      <c r="AC36" s="104">
        <f t="shared" si="108"/>
        <v>769.2</v>
      </c>
      <c r="AD36" s="104">
        <f t="shared" si="109"/>
        <v>769.2</v>
      </c>
      <c r="AE36" s="105">
        <f ca="1">IF(OR(Z36&lt;&gt;"",AB36&lt;&gt;""),RANK(AD36,AD$11:INDIRECT(AD$7,FALSE)),"")</f>
        <v>21</v>
      </c>
      <c r="AF36" s="106"/>
      <c r="AG36" s="107">
        <f t="shared" si="110"/>
        <v>769.2</v>
      </c>
      <c r="AH36" s="107">
        <f t="shared" si="111"/>
        <v>769.2</v>
      </c>
      <c r="AI36" s="108">
        <f ca="1">IF(OR(Z36&lt;&gt;"",AB36&lt;&gt;""),RANK(AH36,AH$11:INDIRECT(AH$7,FALSE)),"")</f>
        <v>21</v>
      </c>
      <c r="AJ36" s="109"/>
      <c r="AK36" s="4">
        <v>68.38</v>
      </c>
      <c r="AL36" s="103">
        <f t="shared" si="112"/>
        <v>68.38</v>
      </c>
      <c r="AM36" s="20"/>
      <c r="AN36" s="104">
        <f t="shared" si="113"/>
        <v>762.4</v>
      </c>
      <c r="AO36" s="104">
        <f t="shared" si="114"/>
        <v>762.4</v>
      </c>
      <c r="AP36" s="105">
        <f ca="1">IF(OR(AK36&lt;&gt;"",AM36&lt;&gt;""),RANK(AO36,AO$11:INDIRECT(AO$7,FALSE)),"")</f>
        <v>23</v>
      </c>
      <c r="AQ36" s="106"/>
      <c r="AR36" s="107">
        <f t="shared" si="3"/>
        <v>1531.6</v>
      </c>
      <c r="AS36" s="110">
        <f>IF(AND($F$8&lt;3,AR36&lt;&gt;""),HLOOKUP(MATCH(EQ36,EZ36:FA36,0),Discards,1,FALSE),"")</f>
      </c>
      <c r="AT36" s="107">
        <f t="shared" si="4"/>
        <v>1531.6</v>
      </c>
      <c r="AU36" s="108">
        <f ca="1">IF(OR(AK36&lt;&gt;"",AM36&lt;&gt;""),RANK(AT36,AT$11:INDIRECT(AT$7,FALSE)),"")</f>
        <v>23</v>
      </c>
      <c r="AV36" s="109"/>
      <c r="AW36" s="4">
        <v>54.15</v>
      </c>
      <c r="AX36" s="103">
        <f t="shared" si="95"/>
        <v>54.15</v>
      </c>
      <c r="AY36" s="20"/>
      <c r="AZ36" s="104">
        <f t="shared" si="115"/>
        <v>870.9</v>
      </c>
      <c r="BA36" s="104">
        <f t="shared" si="116"/>
        <v>870.9</v>
      </c>
      <c r="BB36" s="105">
        <f ca="1">IF(OR(AW36&lt;&gt;"",AY36&lt;&gt;""),RANK(BA36,BA$11:INDIRECT(BA$7,FALSE)),"")</f>
        <v>6</v>
      </c>
      <c r="BC36" s="106"/>
      <c r="BD36" s="107">
        <f t="shared" si="6"/>
        <v>2402.5</v>
      </c>
      <c r="BE36" s="110">
        <f>IF(AND($F$8&lt;4,BD36&lt;&gt;""),HLOOKUP(MATCH(ER36,EZ36:FB36,0),Discards,1,FALSE),"")</f>
      </c>
      <c r="BF36" s="107">
        <f t="shared" si="117"/>
        <v>2402.5</v>
      </c>
      <c r="BG36" s="108">
        <f ca="1">IF(OR(AW36&lt;&gt;"",AY36&lt;&gt;""),RANK(BF36,BF$11:INDIRECT(BF$7,FALSE)),"")</f>
        <v>21</v>
      </c>
      <c r="BH36" s="109"/>
      <c r="BI36" s="4">
        <v>61.42</v>
      </c>
      <c r="BJ36" s="103">
        <f t="shared" si="96"/>
        <v>61.42</v>
      </c>
      <c r="BK36" s="20"/>
      <c r="BL36" s="104">
        <f t="shared" si="118"/>
        <v>799.3</v>
      </c>
      <c r="BM36" s="104">
        <f t="shared" si="119"/>
        <v>799.3</v>
      </c>
      <c r="BN36" s="105">
        <f ca="1">IF(OR(BI36&lt;&gt;"",BK36&lt;&gt;""),RANK(BM36,BM$11:INDIRECT(BM$7,FALSE)),"")</f>
        <v>24</v>
      </c>
      <c r="BO36" s="106"/>
      <c r="BP36" s="107">
        <f t="shared" si="8"/>
        <v>3201.8</v>
      </c>
      <c r="BQ36" s="110">
        <f>IF(AND($F$8&lt;5,BP36&lt;&gt;""),HLOOKUP(MATCH(ES36,EZ36:FC36,0),Discards,1,FALSE),"")</f>
      </c>
      <c r="BR36" s="107">
        <f t="shared" si="120"/>
        <v>3201.8</v>
      </c>
      <c r="BS36" s="108">
        <f ca="1">IF(OR(BI36&lt;&gt;"",BK36&lt;&gt;""),RANK(BR36,BR$11:INDIRECT(BR$7,FALSE)),"")</f>
        <v>21</v>
      </c>
      <c r="BT36" s="109"/>
      <c r="BU36" s="4">
        <v>57</v>
      </c>
      <c r="BV36" s="103">
        <f t="shared" si="97"/>
        <v>57</v>
      </c>
      <c r="BW36" s="20"/>
      <c r="BX36" s="104">
        <f t="shared" si="121"/>
        <v>802.3</v>
      </c>
      <c r="BY36" s="104">
        <f t="shared" si="122"/>
        <v>802.3</v>
      </c>
      <c r="BZ36" s="105">
        <f ca="1">IF(OR(BU36&lt;&gt;"",BW36&lt;&gt;""),RANK(BY36,BY$11:INDIRECT(BY$7,FALSE)),"")</f>
        <v>16</v>
      </c>
      <c r="CA36" s="106"/>
      <c r="CB36" s="107">
        <f t="shared" si="10"/>
        <v>3241.7000000000003</v>
      </c>
      <c r="CC36" s="110">
        <f>IF(AND($F$8&lt;6,CB36&lt;&gt;""),HLOOKUP(MATCH(ET36,EZ36:FD36,0),Discards,1,FALSE),"")</f>
        <v>2</v>
      </c>
      <c r="CD36" s="107">
        <f t="shared" si="123"/>
        <v>3241.7000000000003</v>
      </c>
      <c r="CE36" s="108">
        <f ca="1">IF(OR(BU36&lt;&gt;"",BW36&lt;&gt;""),RANK(CD36,CD$11:INDIRECT(CD$7,FALSE)),"")</f>
        <v>23</v>
      </c>
      <c r="CF36" s="109"/>
      <c r="CG36" s="4">
        <v>56.4</v>
      </c>
      <c r="CH36" s="103">
        <f t="shared" si="98"/>
        <v>56.4</v>
      </c>
      <c r="CI36" s="20"/>
      <c r="CJ36" s="104">
        <f t="shared" si="124"/>
        <v>875</v>
      </c>
      <c r="CK36" s="104">
        <f t="shared" si="125"/>
        <v>875</v>
      </c>
      <c r="CL36" s="105">
        <f ca="1">IF(OR(CG36&lt;&gt;"",CI36&lt;&gt;""),RANK(CK36,CK$11:INDIRECT(CK$7,FALSE)),"")</f>
        <v>10</v>
      </c>
      <c r="CM36" s="106"/>
      <c r="CN36" s="107">
        <f t="shared" si="12"/>
        <v>4116.700000000001</v>
      </c>
      <c r="CO36" s="110">
        <f>IF(AND($F$8&lt;7,CN36&lt;&gt;""),HLOOKUP(MATCH(EU36,EZ36:FE36,0),Discards,1,FALSE),"")</f>
        <v>2</v>
      </c>
      <c r="CP36" s="107">
        <f t="shared" si="126"/>
        <v>4116.700000000001</v>
      </c>
      <c r="CQ36" s="108">
        <f ca="1">IF(OR(CG36&lt;&gt;"",CI36&lt;&gt;""),RANK(CP36,CP$11:INDIRECT(CP$7,FALSE)),"")</f>
        <v>20</v>
      </c>
      <c r="CR36" s="109"/>
      <c r="CS36" s="4">
        <v>61.04</v>
      </c>
      <c r="CT36" s="103">
        <f t="shared" si="99"/>
        <v>61.04</v>
      </c>
      <c r="CU36" s="20">
        <v>100</v>
      </c>
      <c r="CV36" s="104">
        <f t="shared" si="127"/>
        <v>655</v>
      </c>
      <c r="CW36" s="104">
        <f t="shared" si="128"/>
        <v>555</v>
      </c>
      <c r="CX36" s="105">
        <f ca="1">IF(OR(CS36&lt;&gt;"",CU36&lt;&gt;""),RANK(CW36,CW$11:INDIRECT(CW$7,FALSE)),"")</f>
        <v>25</v>
      </c>
      <c r="CY36" s="106"/>
      <c r="CZ36" s="107">
        <f t="shared" si="14"/>
        <v>4779.1</v>
      </c>
      <c r="DA36" s="110">
        <f>IF(AND($F$8&lt;8,CZ36&lt;&gt;""),HLOOKUP(MATCH(EV36,EZ36:FF36,0),Discards,1,FALSE),"")</f>
        <v>7</v>
      </c>
      <c r="DB36" s="107">
        <f t="shared" si="129"/>
        <v>4779.1</v>
      </c>
      <c r="DC36" s="108">
        <f ca="1">IF(OR(CS36&lt;&gt;"",CU36&lt;&gt;""),RANK(DB36,DB$11:INDIRECT(DB$7,FALSE)),"")</f>
        <v>22</v>
      </c>
      <c r="DD36" s="109"/>
      <c r="DE36" s="4">
        <v>55.57</v>
      </c>
      <c r="DF36" s="103">
        <f t="shared" si="100"/>
        <v>55.57</v>
      </c>
      <c r="DG36" s="20"/>
      <c r="DH36" s="104">
        <f t="shared" si="130"/>
        <v>776.5</v>
      </c>
      <c r="DI36" s="104">
        <f t="shared" si="131"/>
        <v>776.5</v>
      </c>
      <c r="DJ36" s="105">
        <f ca="1">IF(OR(DE36&lt;&gt;"",DG36&lt;&gt;""),RANK(DI36,DI$11:INDIRECT(DI$7,FALSE)),"")</f>
        <v>21</v>
      </c>
      <c r="DK36" s="106"/>
      <c r="DL36" s="107">
        <f t="shared" si="16"/>
        <v>5555.6</v>
      </c>
      <c r="DM36" s="110">
        <f>IF(AND($F$8&lt;9,DL36&lt;&gt;""),HLOOKUP(MATCH(EW36,EZ36:FG36,0),Discards,1,FALSE),"")</f>
        <v>7</v>
      </c>
      <c r="DN36" s="107">
        <f t="shared" si="132"/>
        <v>5555.6</v>
      </c>
      <c r="DO36" s="108">
        <f ca="1">IF(OR(DE36&lt;&gt;"",DG36&lt;&gt;""),RANK(DN36,DN$11:INDIRECT(DN$7,FALSE)),"")</f>
        <v>22</v>
      </c>
      <c r="DP36" s="109"/>
      <c r="DQ36" s="4">
        <v>57.41</v>
      </c>
      <c r="DR36" s="103">
        <f t="shared" si="101"/>
        <v>57.41</v>
      </c>
      <c r="DS36" s="20"/>
      <c r="DT36" s="104">
        <f t="shared" si="133"/>
        <v>758.8</v>
      </c>
      <c r="DU36" s="104">
        <f t="shared" si="134"/>
        <v>758.8</v>
      </c>
      <c r="DV36" s="105">
        <f ca="1">IF(OR(DQ36&lt;&gt;"",DS36&lt;&gt;""),RANK(DU36,DU$11:INDIRECT(DU$7,FALSE)),"")</f>
        <v>22</v>
      </c>
      <c r="DW36" s="106"/>
      <c r="DX36" s="107">
        <f t="shared" si="18"/>
        <v>6314.400000000001</v>
      </c>
      <c r="DY36" s="110">
        <f>IF(AND($F$8&lt;10,DX36&lt;&gt;""),HLOOKUP(MATCH(EX36,EZ36:FH36,0),Discards,1,FALSE),"")</f>
        <v>7</v>
      </c>
      <c r="DZ36" s="107">
        <f t="shared" si="135"/>
        <v>6314.400000000001</v>
      </c>
      <c r="EA36" s="108">
        <f ca="1">IF(OR(DQ36&lt;&gt;"",DS36&lt;&gt;""),RANK(DZ36,DZ$11:INDIRECT(DZ$7,FALSE)),"")</f>
        <v>23</v>
      </c>
      <c r="EB36" s="109"/>
      <c r="EC36" s="4"/>
      <c r="ED36" s="103">
        <f t="shared" si="102"/>
      </c>
      <c r="EE36" s="20"/>
      <c r="EF36" s="104">
        <f t="shared" si="136"/>
      </c>
      <c r="EG36" s="104">
        <f t="shared" si="137"/>
        <v>0</v>
      </c>
      <c r="EH36" s="105">
        <f ca="1">IF(OR(EC36&lt;&gt;"",EE36&lt;&gt;""),RANK(EG36,EG$11:INDIRECT(EG$7,FALSE)),"")</f>
      </c>
      <c r="EI36" s="106"/>
      <c r="EJ36" s="107">
        <f t="shared" si="20"/>
      </c>
      <c r="EK36" s="110">
        <f>IF(AND($F$8&lt;11,EJ36&lt;&gt;""),HLOOKUP(MATCH(EY36,EZ36:FI36,0),Discards,1,FALSE),"")</f>
      </c>
      <c r="EL36" s="107">
        <f t="shared" si="138"/>
        <v>0</v>
      </c>
      <c r="EM36" s="108">
        <f ca="1">IF(OR(EC36&lt;&gt;"",EE36&lt;&gt;""),RANK(EL36,EL$11:INDIRECT(EL$7,FALSE)),"")</f>
      </c>
      <c r="EN36" s="111"/>
      <c r="EP36" s="112">
        <f t="shared" si="139"/>
        <v>1</v>
      </c>
      <c r="EQ36" s="28">
        <f>MIN($EZ36:FA36)</f>
        <v>762.4</v>
      </c>
      <c r="ER36" s="28">
        <f>MIN($EZ36:FB36)</f>
        <v>762.4</v>
      </c>
      <c r="ES36" s="28">
        <f>MIN($EZ36:FC36)</f>
        <v>762.4</v>
      </c>
      <c r="ET36" s="28">
        <f>MIN($EZ36:FD36)</f>
        <v>762.4</v>
      </c>
      <c r="EU36" s="28">
        <f>MIN($EZ36:FE36)</f>
        <v>762.4</v>
      </c>
      <c r="EV36" s="28">
        <f>MIN($EZ36:FF36)</f>
        <v>655</v>
      </c>
      <c r="EW36" s="28">
        <f>MIN($EZ36:FG36)</f>
        <v>655</v>
      </c>
      <c r="EX36" s="28">
        <f>MIN($EZ36:FH36)</f>
        <v>655</v>
      </c>
      <c r="EY36" s="28">
        <f>MIN($EZ36:FI36)</f>
        <v>655</v>
      </c>
      <c r="EZ36" s="28">
        <f t="shared" si="21"/>
        <v>769.2</v>
      </c>
      <c r="FA36" s="28">
        <f t="shared" si="22"/>
        <v>762.4</v>
      </c>
      <c r="FB36" s="28">
        <f t="shared" si="23"/>
        <v>870.9</v>
      </c>
      <c r="FC36" s="28">
        <f t="shared" si="24"/>
        <v>799.3</v>
      </c>
      <c r="FD36" s="28">
        <f t="shared" si="25"/>
        <v>802.3</v>
      </c>
      <c r="FE36" s="28">
        <f t="shared" si="26"/>
        <v>875</v>
      </c>
      <c r="FF36" s="28">
        <f t="shared" si="27"/>
        <v>655</v>
      </c>
      <c r="FG36" s="28">
        <f t="shared" si="28"/>
        <v>776.5</v>
      </c>
      <c r="FH36" s="28">
        <f t="shared" si="29"/>
        <v>758.8</v>
      </c>
      <c r="FI36" s="28">
        <f t="shared" si="30"/>
      </c>
      <c r="FL36" s="26">
        <f t="shared" si="140"/>
        <v>255000000</v>
      </c>
      <c r="FM36" s="26">
        <f t="shared" si="141"/>
        <v>255000</v>
      </c>
      <c r="FN36" s="26">
        <f t="shared" si="142"/>
        <v>255</v>
      </c>
      <c r="FO36" s="26">
        <f>IF(C36&lt;&gt;"",SUM(FL36:FN36),0)</f>
        <v>255255255</v>
      </c>
      <c r="FP36" s="26">
        <f ca="1">IF(FO36&gt;0,SMALL($FO$11:INDIRECT($FO$7,FALSE),A36),0)</f>
        <v>255255255</v>
      </c>
      <c r="FQ36" s="26">
        <f t="shared" si="143"/>
        <v>255</v>
      </c>
      <c r="FR36" s="26">
        <f t="shared" si="144"/>
        <v>255</v>
      </c>
      <c r="FS36" s="26">
        <f t="shared" si="145"/>
        <v>255</v>
      </c>
      <c r="FT36" s="26">
        <f t="shared" si="146"/>
      </c>
      <c r="FU36" s="26">
        <f t="shared" si="147"/>
        <v>24</v>
      </c>
      <c r="FV36" s="28">
        <f t="shared" si="31"/>
      </c>
      <c r="FW36" s="26">
        <f t="shared" si="159"/>
      </c>
      <c r="FX36" s="28">
        <f t="shared" si="148"/>
      </c>
      <c r="FY36" s="26">
        <f ca="1">IF(FX36&lt;&gt;"",RANK(FX36,FX$11:INDIRECT(FX$7,FALSE)),"")</f>
      </c>
      <c r="FZ36" s="26">
        <f t="shared" si="149"/>
      </c>
      <c r="GA36" s="26">
        <f t="shared" si="81"/>
      </c>
      <c r="GC36" s="27">
        <f t="shared" si="32"/>
      </c>
      <c r="GD36" s="27">
        <f t="shared" si="33"/>
      </c>
      <c r="GE36" s="27">
        <f t="shared" si="82"/>
      </c>
      <c r="GF36" s="27">
        <f t="shared" si="150"/>
      </c>
      <c r="GG36" s="27">
        <f t="shared" si="151"/>
        <v>0</v>
      </c>
      <c r="GH36" s="26">
        <f t="shared" si="152"/>
        <v>0</v>
      </c>
      <c r="GI36" s="26">
        <f t="shared" si="153"/>
        <v>0</v>
      </c>
      <c r="GJ36" s="26">
        <f t="shared" si="154"/>
        <v>0</v>
      </c>
      <c r="GK36" s="26">
        <f t="shared" si="155"/>
      </c>
      <c r="GL36" s="28">
        <f t="shared" si="156"/>
      </c>
      <c r="GM36" s="26">
        <f t="shared" si="157"/>
      </c>
    </row>
    <row r="37" spans="1:195" ht="12.75">
      <c r="A37" s="16">
        <f t="shared" si="158"/>
        <v>27</v>
      </c>
      <c r="B37" s="17"/>
      <c r="C37" s="18"/>
      <c r="D37" s="19"/>
      <c r="E37" s="18"/>
      <c r="F37" s="18"/>
      <c r="G37" s="148"/>
      <c r="H37" s="122">
        <f t="shared" si="103"/>
      </c>
      <c r="I37" s="30">
        <f t="shared" si="104"/>
      </c>
      <c r="J37" s="30">
        <f>AD37+AO37+BA37+BM37+BY37+CK37+CW37+DI37+DU37+EG37-(MIN(EZ37:FI37)*$EY$2)</f>
        <v>0</v>
      </c>
      <c r="K37" s="139">
        <f ca="1">IF(I37&lt;&gt;"",RANK(I37,J$11:INDIRECT(J$7,FALSE)),"")</f>
      </c>
      <c r="L37" s="102">
        <f t="shared" si="105"/>
      </c>
      <c r="M37" s="102">
        <f t="shared" si="106"/>
        <v>0</v>
      </c>
      <c r="N37" s="51">
        <f t="shared" si="1"/>
      </c>
      <c r="O37" s="150"/>
      <c r="P37" s="151">
        <f t="shared" si="38"/>
      </c>
      <c r="Q37" s="152"/>
      <c r="R37" s="153">
        <f t="shared" si="39"/>
      </c>
      <c r="S37" s="153">
        <f t="shared" si="40"/>
        <v>0</v>
      </c>
      <c r="T37" s="154">
        <f ca="1">IF(OR(O37&lt;&gt;"",Q37&lt;&gt;""),RANK(S37,S$11:INDIRECT(S$7,FALSE)),"")</f>
      </c>
      <c r="U37" s="155"/>
      <c r="V37" s="156"/>
      <c r="W37" s="156"/>
      <c r="X37" s="157"/>
      <c r="Y37" s="158"/>
      <c r="Z37" s="227"/>
      <c r="AA37" s="103">
        <f t="shared" si="107"/>
      </c>
      <c r="AB37" s="20"/>
      <c r="AC37" s="104">
        <f t="shared" si="108"/>
      </c>
      <c r="AD37" s="104">
        <f t="shared" si="109"/>
        <v>0</v>
      </c>
      <c r="AE37" s="105">
        <f ca="1">IF(OR(Z37&lt;&gt;"",AB37&lt;&gt;""),RANK(AD37,AD$11:INDIRECT(AD$7,FALSE)),"")</f>
      </c>
      <c r="AF37" s="106"/>
      <c r="AG37" s="107">
        <f t="shared" si="110"/>
      </c>
      <c r="AH37" s="107">
        <f t="shared" si="111"/>
        <v>0</v>
      </c>
      <c r="AI37" s="108">
        <f ca="1">IF(OR(Z37&lt;&gt;"",AB37&lt;&gt;""),RANK(AH37,AH$11:INDIRECT(AH$7,FALSE)),"")</f>
      </c>
      <c r="AJ37" s="109"/>
      <c r="AK37" s="4"/>
      <c r="AL37" s="103">
        <f t="shared" si="112"/>
      </c>
      <c r="AM37" s="20"/>
      <c r="AN37" s="104">
        <f t="shared" si="113"/>
      </c>
      <c r="AO37" s="104">
        <f t="shared" si="114"/>
        <v>0</v>
      </c>
      <c r="AP37" s="105">
        <f ca="1">IF(OR(AK37&lt;&gt;"",AM37&lt;&gt;""),RANK(AO37,AO$11:INDIRECT(AO$7,FALSE)),"")</f>
      </c>
      <c r="AQ37" s="106"/>
      <c r="AR37" s="107">
        <f t="shared" si="3"/>
      </c>
      <c r="AS37" s="110">
        <f>IF(AND($F$8&lt;3,AR37&lt;&gt;""),HLOOKUP(MATCH(EQ37,EZ37:FA37,0),Discards,1,FALSE),"")</f>
      </c>
      <c r="AT37" s="107">
        <f t="shared" si="4"/>
        <v>0</v>
      </c>
      <c r="AU37" s="108">
        <f ca="1">IF(OR(AK37&lt;&gt;"",AM37&lt;&gt;""),RANK(AT37,AT$11:INDIRECT(AT$7,FALSE)),"")</f>
      </c>
      <c r="AV37" s="109"/>
      <c r="AW37" s="4"/>
      <c r="AX37" s="103">
        <f t="shared" si="95"/>
      </c>
      <c r="AY37" s="20"/>
      <c r="AZ37" s="104">
        <f t="shared" si="115"/>
      </c>
      <c r="BA37" s="104">
        <f t="shared" si="116"/>
        <v>0</v>
      </c>
      <c r="BB37" s="105">
        <f ca="1">IF(OR(AW37&lt;&gt;"",AY37&lt;&gt;""),RANK(BA37,BA$11:INDIRECT(BA$7,FALSE)),"")</f>
      </c>
      <c r="BC37" s="106"/>
      <c r="BD37" s="107">
        <f t="shared" si="6"/>
      </c>
      <c r="BE37" s="110">
        <f>IF(AND($F$8&lt;4,BD37&lt;&gt;""),HLOOKUP(MATCH(ER37,EZ37:FB37,0),Discards,1,FALSE),"")</f>
      </c>
      <c r="BF37" s="107">
        <f t="shared" si="117"/>
        <v>0</v>
      </c>
      <c r="BG37" s="108">
        <f ca="1">IF(OR(AW37&lt;&gt;"",AY37&lt;&gt;""),RANK(BF37,BF$11:INDIRECT(BF$7,FALSE)),"")</f>
      </c>
      <c r="BH37" s="109"/>
      <c r="BI37" s="4"/>
      <c r="BJ37" s="103">
        <f t="shared" si="96"/>
      </c>
      <c r="BK37" s="20"/>
      <c r="BL37" s="104">
        <f t="shared" si="118"/>
      </c>
      <c r="BM37" s="104">
        <f t="shared" si="119"/>
        <v>0</v>
      </c>
      <c r="BN37" s="105">
        <f ca="1">IF(OR(BI37&lt;&gt;"",BK37&lt;&gt;""),RANK(BM37,BM$11:INDIRECT(BM$7,FALSE)),"")</f>
      </c>
      <c r="BO37" s="106"/>
      <c r="BP37" s="107">
        <f t="shared" si="8"/>
      </c>
      <c r="BQ37" s="110">
        <f>IF(AND($F$8&lt;5,BP37&lt;&gt;""),HLOOKUP(MATCH(ES37,EZ37:FC37,0),Discards,1,FALSE),"")</f>
      </c>
      <c r="BR37" s="107">
        <f t="shared" si="120"/>
        <v>0</v>
      </c>
      <c r="BS37" s="108">
        <f ca="1">IF(OR(BI37&lt;&gt;"",BK37&lt;&gt;""),RANK(BR37,BR$11:INDIRECT(BR$7,FALSE)),"")</f>
      </c>
      <c r="BT37" s="109"/>
      <c r="BU37" s="4"/>
      <c r="BV37" s="103">
        <f t="shared" si="97"/>
      </c>
      <c r="BW37" s="20"/>
      <c r="BX37" s="104">
        <f t="shared" si="121"/>
      </c>
      <c r="BY37" s="104">
        <f t="shared" si="122"/>
        <v>0</v>
      </c>
      <c r="BZ37" s="105">
        <f ca="1">IF(OR(BU37&lt;&gt;"",BW37&lt;&gt;""),RANK(BY37,BY$11:INDIRECT(BY$7,FALSE)),"")</f>
      </c>
      <c r="CA37" s="106"/>
      <c r="CB37" s="107">
        <f t="shared" si="10"/>
      </c>
      <c r="CC37" s="110">
        <f>IF(AND($F$8&lt;6,CB37&lt;&gt;""),HLOOKUP(MATCH(ET37,EZ37:FD37,0),Discards,1,FALSE),"")</f>
      </c>
      <c r="CD37" s="107">
        <f t="shared" si="123"/>
        <v>0</v>
      </c>
      <c r="CE37" s="108">
        <f ca="1">IF(OR(BU37&lt;&gt;"",BW37&lt;&gt;""),RANK(CD37,CD$11:INDIRECT(CD$7,FALSE)),"")</f>
      </c>
      <c r="CF37" s="109"/>
      <c r="CG37" s="4"/>
      <c r="CH37" s="103">
        <f t="shared" si="98"/>
      </c>
      <c r="CI37" s="20"/>
      <c r="CJ37" s="104">
        <f t="shared" si="124"/>
      </c>
      <c r="CK37" s="104">
        <f t="shared" si="125"/>
        <v>0</v>
      </c>
      <c r="CL37" s="105">
        <f ca="1">IF(OR(CG37&lt;&gt;"",CI37&lt;&gt;""),RANK(CK37,CK$11:INDIRECT(CK$7,FALSE)),"")</f>
      </c>
      <c r="CM37" s="106"/>
      <c r="CN37" s="107">
        <f t="shared" si="12"/>
      </c>
      <c r="CO37" s="110">
        <f>IF(AND($F$8&lt;7,CN37&lt;&gt;""),HLOOKUP(MATCH(EU37,EZ37:FE37,0),Discards,1,FALSE),"")</f>
      </c>
      <c r="CP37" s="107">
        <f t="shared" si="126"/>
        <v>0</v>
      </c>
      <c r="CQ37" s="108">
        <f ca="1">IF(OR(CG37&lt;&gt;"",CI37&lt;&gt;""),RANK(CP37,CP$11:INDIRECT(CP$7,FALSE)),"")</f>
      </c>
      <c r="CR37" s="109"/>
      <c r="CS37" s="4"/>
      <c r="CT37" s="103">
        <f t="shared" si="99"/>
      </c>
      <c r="CU37" s="20"/>
      <c r="CV37" s="104">
        <f t="shared" si="127"/>
      </c>
      <c r="CW37" s="104">
        <f t="shared" si="128"/>
        <v>0</v>
      </c>
      <c r="CX37" s="105">
        <f ca="1">IF(OR(CS37&lt;&gt;"",CU37&lt;&gt;""),RANK(CW37,CW$11:INDIRECT(CW$7,FALSE)),"")</f>
      </c>
      <c r="CY37" s="106"/>
      <c r="CZ37" s="107">
        <f t="shared" si="14"/>
      </c>
      <c r="DA37" s="110">
        <f>IF(AND($F$8&lt;8,CZ37&lt;&gt;""),HLOOKUP(MATCH(EV37,EZ37:FF37,0),Discards,1,FALSE),"")</f>
      </c>
      <c r="DB37" s="107">
        <f t="shared" si="129"/>
        <v>0</v>
      </c>
      <c r="DC37" s="108">
        <f ca="1">IF(OR(CS37&lt;&gt;"",CU37&lt;&gt;""),RANK(DB37,DB$11:INDIRECT(DB$7,FALSE)),"")</f>
      </c>
      <c r="DD37" s="109"/>
      <c r="DE37" s="4"/>
      <c r="DF37" s="103">
        <f t="shared" si="100"/>
      </c>
      <c r="DG37" s="20"/>
      <c r="DH37" s="104">
        <f t="shared" si="130"/>
      </c>
      <c r="DI37" s="104">
        <f t="shared" si="131"/>
        <v>0</v>
      </c>
      <c r="DJ37" s="105">
        <f ca="1">IF(OR(DE37&lt;&gt;"",DG37&lt;&gt;""),RANK(DI37,DI$11:INDIRECT(DI$7,FALSE)),"")</f>
      </c>
      <c r="DK37" s="106"/>
      <c r="DL37" s="107">
        <f t="shared" si="16"/>
      </c>
      <c r="DM37" s="110">
        <f>IF(AND($F$8&lt;9,DL37&lt;&gt;""),HLOOKUP(MATCH(EW37,EZ37:FG37,0),Discards,1,FALSE),"")</f>
      </c>
      <c r="DN37" s="107">
        <f t="shared" si="132"/>
        <v>0</v>
      </c>
      <c r="DO37" s="108">
        <f ca="1">IF(OR(DE37&lt;&gt;"",DG37&lt;&gt;""),RANK(DN37,DN$11:INDIRECT(DN$7,FALSE)),"")</f>
      </c>
      <c r="DP37" s="109"/>
      <c r="DQ37" s="4"/>
      <c r="DR37" s="103">
        <f t="shared" si="101"/>
      </c>
      <c r="DS37" s="20"/>
      <c r="DT37" s="104">
        <f t="shared" si="133"/>
      </c>
      <c r="DU37" s="104">
        <f t="shared" si="134"/>
        <v>0</v>
      </c>
      <c r="DV37" s="105">
        <f ca="1">IF(OR(DQ37&lt;&gt;"",DS37&lt;&gt;""),RANK(DU37,DU$11:INDIRECT(DU$7,FALSE)),"")</f>
      </c>
      <c r="DW37" s="106"/>
      <c r="DX37" s="107">
        <f t="shared" si="18"/>
      </c>
      <c r="DY37" s="110">
        <f>IF(AND($F$8&lt;10,DX37&lt;&gt;""),HLOOKUP(MATCH(EX37,EZ37:FH37,0),Discards,1,FALSE),"")</f>
      </c>
      <c r="DZ37" s="107">
        <f t="shared" si="135"/>
        <v>0</v>
      </c>
      <c r="EA37" s="108">
        <f ca="1">IF(OR(DQ37&lt;&gt;"",DS37&lt;&gt;""),RANK(DZ37,DZ$11:INDIRECT(DZ$7,FALSE)),"")</f>
      </c>
      <c r="EB37" s="109"/>
      <c r="EC37" s="4"/>
      <c r="ED37" s="103">
        <f t="shared" si="102"/>
      </c>
      <c r="EE37" s="20"/>
      <c r="EF37" s="104">
        <f t="shared" si="136"/>
      </c>
      <c r="EG37" s="104">
        <f t="shared" si="137"/>
        <v>0</v>
      </c>
      <c r="EH37" s="105">
        <f ca="1">IF(OR(EC37&lt;&gt;"",EE37&lt;&gt;""),RANK(EG37,EG$11:INDIRECT(EG$7,FALSE)),"")</f>
      </c>
      <c r="EI37" s="106"/>
      <c r="EJ37" s="107">
        <f t="shared" si="20"/>
      </c>
      <c r="EK37" s="110">
        <f>IF(AND($F$8&lt;11,EJ37&lt;&gt;""),HLOOKUP(MATCH(EY37,EZ37:FI37,0),Discards,1,FALSE),"")</f>
      </c>
      <c r="EL37" s="107">
        <f t="shared" si="138"/>
        <v>0</v>
      </c>
      <c r="EM37" s="108">
        <f ca="1">IF(OR(EC37&lt;&gt;"",EE37&lt;&gt;""),RANK(EL37,EL$11:INDIRECT(EL$7,FALSE)),"")</f>
      </c>
      <c r="EN37" s="111"/>
      <c r="EP37" s="112">
        <f t="shared" si="139"/>
        <v>0</v>
      </c>
      <c r="EQ37" s="28">
        <f>MIN($EZ37:FA37)</f>
        <v>0</v>
      </c>
      <c r="ER37" s="28">
        <f>MIN($EZ37:FB37)</f>
        <v>0</v>
      </c>
      <c r="ES37" s="28">
        <f>MIN($EZ37:FC37)</f>
        <v>0</v>
      </c>
      <c r="ET37" s="28">
        <f>MIN($EZ37:FD37)</f>
        <v>0</v>
      </c>
      <c r="EU37" s="28">
        <f>MIN($EZ37:FE37)</f>
        <v>0</v>
      </c>
      <c r="EV37" s="28">
        <f>MIN($EZ37:FF37)</f>
        <v>0</v>
      </c>
      <c r="EW37" s="28">
        <f>MIN($EZ37:FG37)</f>
        <v>0</v>
      </c>
      <c r="EX37" s="28">
        <f>MIN($EZ37:FH37)</f>
        <v>0</v>
      </c>
      <c r="EY37" s="28">
        <f>MIN($EZ37:FI37)</f>
        <v>0</v>
      </c>
      <c r="EZ37" s="28">
        <f t="shared" si="21"/>
      </c>
      <c r="FA37" s="28">
        <f t="shared" si="22"/>
      </c>
      <c r="FB37" s="28">
        <f t="shared" si="23"/>
      </c>
      <c r="FC37" s="28">
        <f t="shared" si="24"/>
      </c>
      <c r="FD37" s="28">
        <f t="shared" si="25"/>
      </c>
      <c r="FE37" s="28">
        <f t="shared" si="26"/>
      </c>
      <c r="FF37" s="28">
        <f t="shared" si="27"/>
      </c>
      <c r="FG37" s="28">
        <f t="shared" si="28"/>
      </c>
      <c r="FH37" s="28">
        <f t="shared" si="29"/>
      </c>
      <c r="FI37" s="28">
        <f t="shared" si="30"/>
      </c>
      <c r="FL37" s="26">
        <f t="shared" si="140"/>
        <v>255000000</v>
      </c>
      <c r="FM37" s="26">
        <f t="shared" si="141"/>
        <v>255000</v>
      </c>
      <c r="FN37" s="26">
        <f t="shared" si="142"/>
        <v>255</v>
      </c>
      <c r="FO37" s="26">
        <f>IF(C37&lt;&gt;"",SUM(FL37:FN37),0)</f>
        <v>0</v>
      </c>
      <c r="FP37" s="26">
        <f ca="1">IF(FO37&gt;0,SMALL($FO$11:INDIRECT($FO$7,FALSE),A37),0)</f>
        <v>0</v>
      </c>
      <c r="FQ37" s="26">
        <f t="shared" si="143"/>
        <v>0</v>
      </c>
      <c r="FR37" s="26">
        <f t="shared" si="144"/>
        <v>0</v>
      </c>
      <c r="FS37" s="26">
        <f t="shared" si="145"/>
        <v>0</v>
      </c>
      <c r="FT37" s="26">
        <f t="shared" si="146"/>
      </c>
      <c r="FU37" s="26">
        <f t="shared" si="147"/>
        <v>24</v>
      </c>
      <c r="FV37" s="28">
        <f t="shared" si="31"/>
      </c>
      <c r="FW37" s="26">
        <f t="shared" si="159"/>
      </c>
      <c r="FX37" s="28">
        <f t="shared" si="148"/>
      </c>
      <c r="FY37" s="26">
        <f ca="1">IF(FX37&lt;&gt;"",RANK(FX37,FX$11:INDIRECT(FX$7,FALSE)),"")</f>
      </c>
      <c r="FZ37" s="26">
        <f t="shared" si="149"/>
      </c>
      <c r="GA37" s="26">
        <f t="shared" si="81"/>
      </c>
      <c r="GC37" s="27">
        <f t="shared" si="32"/>
      </c>
      <c r="GD37" s="27">
        <f t="shared" si="33"/>
      </c>
      <c r="GE37" s="27">
        <f t="shared" si="82"/>
      </c>
      <c r="GF37" s="27">
        <f t="shared" si="150"/>
      </c>
      <c r="GG37" s="27">
        <f t="shared" si="151"/>
        <v>0</v>
      </c>
      <c r="GH37" s="26">
        <f t="shared" si="152"/>
        <v>0</v>
      </c>
      <c r="GI37" s="26">
        <f t="shared" si="153"/>
        <v>0</v>
      </c>
      <c r="GJ37" s="26">
        <f t="shared" si="154"/>
        <v>0</v>
      </c>
      <c r="GK37" s="26">
        <f t="shared" si="155"/>
      </c>
      <c r="GL37" s="28">
        <f t="shared" si="156"/>
      </c>
      <c r="GM37" s="26">
        <f t="shared" si="157"/>
      </c>
    </row>
    <row r="38" spans="1:195" ht="12.75">
      <c r="A38" s="132">
        <f t="shared" si="158"/>
        <v>28</v>
      </c>
      <c r="B38" s="133"/>
      <c r="C38" s="134"/>
      <c r="D38" s="135"/>
      <c r="E38" s="134"/>
      <c r="F38" s="134"/>
      <c r="G38" s="149"/>
      <c r="H38" s="136">
        <f t="shared" si="103"/>
      </c>
      <c r="I38" s="137">
        <f t="shared" si="104"/>
      </c>
      <c r="J38" s="137">
        <f>AD38+AO38+BA38+BM38+BY38+CK38+CW38+DI38+DU38+EG38-(MIN(EZ38:FI38)*$EY$2)</f>
        <v>0</v>
      </c>
      <c r="K38" s="140">
        <f ca="1">IF(I38&lt;&gt;"",RANK(I38,J$11:INDIRECT(J$7,FALSE)),"")</f>
      </c>
      <c r="L38" s="137">
        <f t="shared" si="105"/>
      </c>
      <c r="M38" s="137">
        <f t="shared" si="106"/>
        <v>0</v>
      </c>
      <c r="N38" s="138">
        <f t="shared" si="1"/>
      </c>
      <c r="O38" s="159"/>
      <c r="P38" s="160">
        <f t="shared" si="38"/>
      </c>
      <c r="Q38" s="161"/>
      <c r="R38" s="162">
        <f t="shared" si="39"/>
      </c>
      <c r="S38" s="162">
        <f t="shared" si="40"/>
        <v>0</v>
      </c>
      <c r="T38" s="163">
        <f ca="1">IF(OR(O38&lt;&gt;"",Q38&lt;&gt;""),RANK(S38,S$11:INDIRECT(S$7,FALSE)),"")</f>
      </c>
      <c r="U38" s="164"/>
      <c r="V38" s="165"/>
      <c r="W38" s="165"/>
      <c r="X38" s="166"/>
      <c r="Y38" s="167"/>
      <c r="Z38" s="228"/>
      <c r="AA38" s="113">
        <f t="shared" si="107"/>
      </c>
      <c r="AB38" s="21"/>
      <c r="AC38" s="114">
        <f t="shared" si="108"/>
      </c>
      <c r="AD38" s="114">
        <f t="shared" si="109"/>
        <v>0</v>
      </c>
      <c r="AE38" s="115">
        <f ca="1">IF(OR(Z38&lt;&gt;"",AB38&lt;&gt;""),RANK(AD38,AD$11:INDIRECT(AD$7,FALSE)),"")</f>
      </c>
      <c r="AF38" s="116"/>
      <c r="AG38" s="117">
        <f t="shared" si="110"/>
      </c>
      <c r="AH38" s="117">
        <f t="shared" si="111"/>
        <v>0</v>
      </c>
      <c r="AI38" s="118">
        <f ca="1">IF(OR(Z38&lt;&gt;"",AB38&lt;&gt;""),RANK(AH38,AH$11:INDIRECT(AH$7,FALSE)),"")</f>
      </c>
      <c r="AJ38" s="119"/>
      <c r="AK38" s="5"/>
      <c r="AL38" s="113">
        <f t="shared" si="112"/>
      </c>
      <c r="AM38" s="21"/>
      <c r="AN38" s="114">
        <f t="shared" si="113"/>
      </c>
      <c r="AO38" s="114">
        <f t="shared" si="114"/>
        <v>0</v>
      </c>
      <c r="AP38" s="115">
        <f ca="1">IF(OR(AK38&lt;&gt;"",AM38&lt;&gt;""),RANK(AO38,AO$11:INDIRECT(AO$7,FALSE)),"")</f>
      </c>
      <c r="AQ38" s="116"/>
      <c r="AR38" s="117">
        <f t="shared" si="3"/>
      </c>
      <c r="AS38" s="120">
        <f>IF(AND($F$8&lt;3,AR38&lt;&gt;""),HLOOKUP(MATCH(EQ38,EZ38:FA38,0),Discards,1,FALSE),"")</f>
      </c>
      <c r="AT38" s="117">
        <f t="shared" si="4"/>
        <v>0</v>
      </c>
      <c r="AU38" s="118">
        <f ca="1">IF(OR(AK38&lt;&gt;"",AM38&lt;&gt;""),RANK(AT38,AT$11:INDIRECT(AT$7,FALSE)),"")</f>
      </c>
      <c r="AV38" s="119"/>
      <c r="AW38" s="5"/>
      <c r="AX38" s="113">
        <f t="shared" si="95"/>
      </c>
      <c r="AY38" s="21"/>
      <c r="AZ38" s="114">
        <f t="shared" si="115"/>
      </c>
      <c r="BA38" s="114">
        <f t="shared" si="116"/>
        <v>0</v>
      </c>
      <c r="BB38" s="115">
        <f ca="1">IF(OR(AW38&lt;&gt;"",AY38&lt;&gt;""),RANK(BA38,BA$11:INDIRECT(BA$7,FALSE)),"")</f>
      </c>
      <c r="BC38" s="116"/>
      <c r="BD38" s="117">
        <f t="shared" si="6"/>
      </c>
      <c r="BE38" s="120">
        <f>IF(AND($F$8&lt;4,BD38&lt;&gt;""),HLOOKUP(MATCH(ER38,EZ38:FB38,0),Discards,1,FALSE),"")</f>
      </c>
      <c r="BF38" s="117">
        <f t="shared" si="117"/>
        <v>0</v>
      </c>
      <c r="BG38" s="118">
        <f ca="1">IF(OR(AW38&lt;&gt;"",AY38&lt;&gt;""),RANK(BF38,BF$11:INDIRECT(BF$7,FALSE)),"")</f>
      </c>
      <c r="BH38" s="119"/>
      <c r="BI38" s="5"/>
      <c r="BJ38" s="113">
        <f t="shared" si="96"/>
      </c>
      <c r="BK38" s="21"/>
      <c r="BL38" s="114">
        <f t="shared" si="118"/>
      </c>
      <c r="BM38" s="114">
        <f t="shared" si="119"/>
        <v>0</v>
      </c>
      <c r="BN38" s="115">
        <f ca="1">IF(OR(BI38&lt;&gt;"",BK38&lt;&gt;""),RANK(BM38,BM$11:INDIRECT(BM$7,FALSE)),"")</f>
      </c>
      <c r="BO38" s="116"/>
      <c r="BP38" s="117">
        <f t="shared" si="8"/>
      </c>
      <c r="BQ38" s="120">
        <f>IF(AND($F$8&lt;5,BP38&lt;&gt;""),HLOOKUP(MATCH(ES38,EZ38:FC38,0),Discards,1,FALSE),"")</f>
      </c>
      <c r="BR38" s="117">
        <f t="shared" si="120"/>
        <v>0</v>
      </c>
      <c r="BS38" s="118">
        <f ca="1">IF(OR(BI38&lt;&gt;"",BK38&lt;&gt;""),RANK(BR38,BR$11:INDIRECT(BR$7,FALSE)),"")</f>
      </c>
      <c r="BT38" s="119"/>
      <c r="BU38" s="5"/>
      <c r="BV38" s="113">
        <f t="shared" si="97"/>
      </c>
      <c r="BW38" s="21"/>
      <c r="BX38" s="114">
        <f t="shared" si="121"/>
      </c>
      <c r="BY38" s="114">
        <f t="shared" si="122"/>
        <v>0</v>
      </c>
      <c r="BZ38" s="115">
        <f ca="1">IF(OR(BU38&lt;&gt;"",BW38&lt;&gt;""),RANK(BY38,BY$11:INDIRECT(BY$7,FALSE)),"")</f>
      </c>
      <c r="CA38" s="116"/>
      <c r="CB38" s="117">
        <f t="shared" si="10"/>
      </c>
      <c r="CC38" s="120">
        <f>IF(AND($F$8&lt;6,CB38&lt;&gt;""),HLOOKUP(MATCH(ET38,EZ38:FD38,0),Discards,1,FALSE),"")</f>
      </c>
      <c r="CD38" s="117">
        <f t="shared" si="123"/>
        <v>0</v>
      </c>
      <c r="CE38" s="118">
        <f ca="1">IF(OR(BU38&lt;&gt;"",BW38&lt;&gt;""),RANK(CD38,CD$11:INDIRECT(CD$7,FALSE)),"")</f>
      </c>
      <c r="CF38" s="119"/>
      <c r="CG38" s="5"/>
      <c r="CH38" s="113">
        <f t="shared" si="98"/>
      </c>
      <c r="CI38" s="21"/>
      <c r="CJ38" s="114">
        <f t="shared" si="124"/>
      </c>
      <c r="CK38" s="114">
        <f t="shared" si="125"/>
        <v>0</v>
      </c>
      <c r="CL38" s="115">
        <f ca="1">IF(OR(CG38&lt;&gt;"",CI38&lt;&gt;""),RANK(CK38,CK$11:INDIRECT(CK$7,FALSE)),"")</f>
      </c>
      <c r="CM38" s="116"/>
      <c r="CN38" s="117">
        <f t="shared" si="12"/>
      </c>
      <c r="CO38" s="120">
        <f>IF(AND($F$8&lt;7,CN38&lt;&gt;""),HLOOKUP(MATCH(EU38,EZ38:FE38,0),Discards,1,FALSE),"")</f>
      </c>
      <c r="CP38" s="117">
        <f t="shared" si="126"/>
        <v>0</v>
      </c>
      <c r="CQ38" s="118">
        <f ca="1">IF(OR(CG38&lt;&gt;"",CI38&lt;&gt;""),RANK(CP38,CP$11:INDIRECT(CP$7,FALSE)),"")</f>
      </c>
      <c r="CR38" s="119"/>
      <c r="CS38" s="5"/>
      <c r="CT38" s="113">
        <f t="shared" si="99"/>
      </c>
      <c r="CU38" s="21"/>
      <c r="CV38" s="114">
        <f t="shared" si="127"/>
      </c>
      <c r="CW38" s="114">
        <f t="shared" si="128"/>
        <v>0</v>
      </c>
      <c r="CX38" s="115">
        <f ca="1">IF(OR(CS38&lt;&gt;"",CU38&lt;&gt;""),RANK(CW38,CW$11:INDIRECT(CW$7,FALSE)),"")</f>
      </c>
      <c r="CY38" s="116"/>
      <c r="CZ38" s="117">
        <f t="shared" si="14"/>
      </c>
      <c r="DA38" s="120">
        <f>IF(AND($F$8&lt;8,CZ38&lt;&gt;""),HLOOKUP(MATCH(EV38,EZ38:FF38,0),Discards,1,FALSE),"")</f>
      </c>
      <c r="DB38" s="117">
        <f t="shared" si="129"/>
        <v>0</v>
      </c>
      <c r="DC38" s="118">
        <f ca="1">IF(OR(CS38&lt;&gt;"",CU38&lt;&gt;""),RANK(DB38,DB$11:INDIRECT(DB$7,FALSE)),"")</f>
      </c>
      <c r="DD38" s="119"/>
      <c r="DE38" s="5"/>
      <c r="DF38" s="113">
        <f t="shared" si="100"/>
      </c>
      <c r="DG38" s="21"/>
      <c r="DH38" s="114">
        <f t="shared" si="130"/>
      </c>
      <c r="DI38" s="114">
        <f t="shared" si="131"/>
        <v>0</v>
      </c>
      <c r="DJ38" s="115">
        <f ca="1">IF(OR(DE38&lt;&gt;"",DG38&lt;&gt;""),RANK(DI38,DI$11:INDIRECT(DI$7,FALSE)),"")</f>
      </c>
      <c r="DK38" s="116"/>
      <c r="DL38" s="117">
        <f t="shared" si="16"/>
      </c>
      <c r="DM38" s="120">
        <f>IF(AND($F$8&lt;9,DL38&lt;&gt;""),HLOOKUP(MATCH(EW38,EZ38:FG38,0),Discards,1,FALSE),"")</f>
      </c>
      <c r="DN38" s="117">
        <f t="shared" si="132"/>
        <v>0</v>
      </c>
      <c r="DO38" s="118">
        <f ca="1">IF(OR(DE38&lt;&gt;"",DG38&lt;&gt;""),RANK(DN38,DN$11:INDIRECT(DN$7,FALSE)),"")</f>
      </c>
      <c r="DP38" s="119"/>
      <c r="DQ38" s="5"/>
      <c r="DR38" s="113">
        <f t="shared" si="101"/>
      </c>
      <c r="DS38" s="21"/>
      <c r="DT38" s="114">
        <f t="shared" si="133"/>
      </c>
      <c r="DU38" s="114">
        <f t="shared" si="134"/>
        <v>0</v>
      </c>
      <c r="DV38" s="115">
        <f ca="1">IF(OR(DQ38&lt;&gt;"",DS38&lt;&gt;""),RANK(DU38,DU$11:INDIRECT(DU$7,FALSE)),"")</f>
      </c>
      <c r="DW38" s="116"/>
      <c r="DX38" s="117">
        <f t="shared" si="18"/>
      </c>
      <c r="DY38" s="120">
        <f>IF(AND($F$8&lt;10,DX38&lt;&gt;""),HLOOKUP(MATCH(EX38,EZ38:FH38,0),Discards,1,FALSE),"")</f>
      </c>
      <c r="DZ38" s="117">
        <f t="shared" si="135"/>
        <v>0</v>
      </c>
      <c r="EA38" s="118">
        <f ca="1">IF(OR(DQ38&lt;&gt;"",DS38&lt;&gt;""),RANK(DZ38,DZ$11:INDIRECT(DZ$7,FALSE)),"")</f>
      </c>
      <c r="EB38" s="119"/>
      <c r="EC38" s="5"/>
      <c r="ED38" s="113">
        <f t="shared" si="102"/>
      </c>
      <c r="EE38" s="21"/>
      <c r="EF38" s="114">
        <f t="shared" si="136"/>
      </c>
      <c r="EG38" s="114">
        <f t="shared" si="137"/>
        <v>0</v>
      </c>
      <c r="EH38" s="115">
        <f ca="1">IF(OR(EC38&lt;&gt;"",EE38&lt;&gt;""),RANK(EG38,EG$11:INDIRECT(EG$7,FALSE)),"")</f>
      </c>
      <c r="EI38" s="116"/>
      <c r="EJ38" s="117">
        <f t="shared" si="20"/>
      </c>
      <c r="EK38" s="120">
        <f>IF(AND($F$8&lt;11,EJ38&lt;&gt;""),HLOOKUP(MATCH(EY38,EZ38:FI38,0),Discards,1,FALSE),"")</f>
      </c>
      <c r="EL38" s="117">
        <f t="shared" si="138"/>
        <v>0</v>
      </c>
      <c r="EM38" s="118">
        <f ca="1">IF(OR(EC38&lt;&gt;"",EE38&lt;&gt;""),RANK(EL38,EL$11:INDIRECT(EL$7,FALSE)),"")</f>
      </c>
      <c r="EN38" s="121"/>
      <c r="EP38" s="112">
        <f t="shared" si="139"/>
        <v>0</v>
      </c>
      <c r="EQ38" s="28">
        <f>MIN($EZ38:FA38)</f>
        <v>0</v>
      </c>
      <c r="ER38" s="28">
        <f>MIN($EZ38:FB38)</f>
        <v>0</v>
      </c>
      <c r="ES38" s="28">
        <f>MIN($EZ38:FC38)</f>
        <v>0</v>
      </c>
      <c r="ET38" s="28">
        <f>MIN($EZ38:FD38)</f>
        <v>0</v>
      </c>
      <c r="EU38" s="28">
        <f>MIN($EZ38:FE38)</f>
        <v>0</v>
      </c>
      <c r="EV38" s="28">
        <f>MIN($EZ38:FF38)</f>
        <v>0</v>
      </c>
      <c r="EW38" s="28">
        <f>MIN($EZ38:FG38)</f>
        <v>0</v>
      </c>
      <c r="EX38" s="28">
        <f>MIN($EZ38:FH38)</f>
        <v>0</v>
      </c>
      <c r="EY38" s="28">
        <f>MIN($EZ38:FI38)</f>
        <v>0</v>
      </c>
      <c r="EZ38" s="28">
        <f t="shared" si="21"/>
      </c>
      <c r="FA38" s="28">
        <f t="shared" si="22"/>
      </c>
      <c r="FB38" s="28">
        <f t="shared" si="23"/>
      </c>
      <c r="FC38" s="28">
        <f t="shared" si="24"/>
      </c>
      <c r="FD38" s="28">
        <f t="shared" si="25"/>
      </c>
      <c r="FE38" s="28">
        <f t="shared" si="26"/>
      </c>
      <c r="FF38" s="28">
        <f t="shared" si="27"/>
      </c>
      <c r="FG38" s="28">
        <f t="shared" si="28"/>
      </c>
      <c r="FH38" s="28">
        <f t="shared" si="29"/>
      </c>
      <c r="FI38" s="28">
        <f t="shared" si="30"/>
      </c>
      <c r="FL38" s="26">
        <f t="shared" si="140"/>
        <v>255000000</v>
      </c>
      <c r="FM38" s="26">
        <f t="shared" si="141"/>
        <v>255000</v>
      </c>
      <c r="FN38" s="26">
        <f t="shared" si="142"/>
        <v>255</v>
      </c>
      <c r="FO38" s="26">
        <f>IF(C38&lt;&gt;"",SUM(FL38:FN38),0)</f>
        <v>0</v>
      </c>
      <c r="FP38" s="26">
        <f ca="1">IF(FO38&gt;0,SMALL($FO$11:INDIRECT($FO$7,FALSE),A38),0)</f>
        <v>0</v>
      </c>
      <c r="FQ38" s="26">
        <f t="shared" si="143"/>
        <v>0</v>
      </c>
      <c r="FR38" s="26">
        <f t="shared" si="144"/>
        <v>0</v>
      </c>
      <c r="FS38" s="26">
        <f t="shared" si="145"/>
        <v>0</v>
      </c>
      <c r="FT38" s="26">
        <f t="shared" si="146"/>
      </c>
      <c r="FU38" s="26">
        <f t="shared" si="147"/>
        <v>24</v>
      </c>
      <c r="FV38" s="28">
        <f t="shared" si="31"/>
      </c>
      <c r="FW38" s="26">
        <f t="shared" si="159"/>
      </c>
      <c r="FX38" s="28">
        <f t="shared" si="148"/>
      </c>
      <c r="FY38" s="26">
        <f ca="1">IF(FX38&lt;&gt;"",RANK(FX38,FX$11:INDIRECT(FX$7,FALSE)),"")</f>
      </c>
      <c r="FZ38" s="26">
        <f t="shared" si="149"/>
      </c>
      <c r="GA38" s="26">
        <f t="shared" si="81"/>
      </c>
      <c r="GC38" s="27">
        <f t="shared" si="32"/>
      </c>
      <c r="GD38" s="27">
        <f t="shared" si="33"/>
      </c>
      <c r="GE38" s="27">
        <f t="shared" si="82"/>
      </c>
      <c r="GF38" s="27">
        <f t="shared" si="150"/>
      </c>
      <c r="GG38" s="27">
        <f t="shared" si="151"/>
        <v>0</v>
      </c>
      <c r="GH38" s="26">
        <f t="shared" si="152"/>
        <v>0</v>
      </c>
      <c r="GI38" s="26">
        <f t="shared" si="153"/>
        <v>0</v>
      </c>
      <c r="GJ38" s="26">
        <f t="shared" si="154"/>
        <v>0</v>
      </c>
      <c r="GK38" s="26">
        <f t="shared" si="155"/>
      </c>
      <c r="GL38" s="28">
        <f t="shared" si="156"/>
      </c>
      <c r="GM38" s="26">
        <f t="shared" si="157"/>
      </c>
    </row>
    <row r="39" spans="1:195" ht="12.75">
      <c r="A39" s="132">
        <f t="shared" si="158"/>
        <v>29</v>
      </c>
      <c r="B39" s="133"/>
      <c r="C39" s="134"/>
      <c r="D39" s="135"/>
      <c r="E39" s="134"/>
      <c r="F39" s="134"/>
      <c r="G39" s="149"/>
      <c r="H39" s="136">
        <f t="shared" si="103"/>
      </c>
      <c r="I39" s="137">
        <f t="shared" si="104"/>
      </c>
      <c r="J39" s="137">
        <f>AD39+AO39+BA39+BM39+BY39+CK39+CW39+DI39+DU39+EG39-(MIN(EZ39:FI39)*$EY$2)</f>
        <v>0</v>
      </c>
      <c r="K39" s="140">
        <f ca="1">IF(I39&lt;&gt;"",RANK(I39,J$11:INDIRECT(J$7,FALSE)),"")</f>
      </c>
      <c r="L39" s="137">
        <f t="shared" si="105"/>
      </c>
      <c r="M39" s="137">
        <f t="shared" si="106"/>
        <v>0</v>
      </c>
      <c r="N39" s="138">
        <f t="shared" si="1"/>
      </c>
      <c r="O39" s="159"/>
      <c r="P39" s="160">
        <f t="shared" si="38"/>
      </c>
      <c r="Q39" s="161"/>
      <c r="R39" s="162">
        <f t="shared" si="39"/>
      </c>
      <c r="S39" s="162">
        <f t="shared" si="40"/>
        <v>0</v>
      </c>
      <c r="T39" s="163">
        <f ca="1">IF(OR(O39&lt;&gt;"",Q39&lt;&gt;""),RANK(S39,S$11:INDIRECT(S$7,FALSE)),"")</f>
      </c>
      <c r="U39" s="164"/>
      <c r="V39" s="165"/>
      <c r="W39" s="165"/>
      <c r="X39" s="166"/>
      <c r="Y39" s="167"/>
      <c r="Z39" s="228"/>
      <c r="AA39" s="113">
        <f t="shared" si="107"/>
      </c>
      <c r="AB39" s="21"/>
      <c r="AC39" s="114">
        <f t="shared" si="108"/>
      </c>
      <c r="AD39" s="114">
        <f t="shared" si="109"/>
        <v>0</v>
      </c>
      <c r="AE39" s="115">
        <f ca="1">IF(OR(Z39&lt;&gt;"",AB39&lt;&gt;""),RANK(AD39,AD$11:INDIRECT(AD$7,FALSE)),"")</f>
      </c>
      <c r="AF39" s="116"/>
      <c r="AG39" s="117">
        <f t="shared" si="110"/>
      </c>
      <c r="AH39" s="117">
        <f t="shared" si="111"/>
        <v>0</v>
      </c>
      <c r="AI39" s="118">
        <f ca="1">IF(OR(Z39&lt;&gt;"",AB39&lt;&gt;""),RANK(AH39,AH$11:INDIRECT(AH$7,FALSE)),"")</f>
      </c>
      <c r="AJ39" s="119"/>
      <c r="AK39" s="5"/>
      <c r="AL39" s="113">
        <f t="shared" si="112"/>
      </c>
      <c r="AM39" s="21"/>
      <c r="AN39" s="114">
        <f t="shared" si="113"/>
      </c>
      <c r="AO39" s="114">
        <f t="shared" si="114"/>
        <v>0</v>
      </c>
      <c r="AP39" s="115">
        <f ca="1">IF(OR(AK39&lt;&gt;"",AM39&lt;&gt;""),RANK(AO39,AO$11:INDIRECT(AO$7,FALSE)),"")</f>
      </c>
      <c r="AQ39" s="116"/>
      <c r="AR39" s="117">
        <f t="shared" si="3"/>
      </c>
      <c r="AS39" s="120">
        <f>IF(AND($F$8&lt;3,AR39&lt;&gt;""),HLOOKUP(MATCH(EQ39,EZ39:FA39,0),Discards,1,FALSE),"")</f>
      </c>
      <c r="AT39" s="117">
        <f t="shared" si="4"/>
        <v>0</v>
      </c>
      <c r="AU39" s="118">
        <f ca="1">IF(OR(AK39&lt;&gt;"",AM39&lt;&gt;""),RANK(AT39,AT$11:INDIRECT(AT$7,FALSE)),"")</f>
      </c>
      <c r="AV39" s="119"/>
      <c r="AW39" s="5"/>
      <c r="AX39" s="113">
        <f t="shared" si="95"/>
      </c>
      <c r="AY39" s="21"/>
      <c r="AZ39" s="114">
        <f t="shared" si="115"/>
      </c>
      <c r="BA39" s="114">
        <f t="shared" si="116"/>
        <v>0</v>
      </c>
      <c r="BB39" s="115">
        <f ca="1">IF(OR(AW39&lt;&gt;"",AY39&lt;&gt;""),RANK(BA39,BA$11:INDIRECT(BA$7,FALSE)),"")</f>
      </c>
      <c r="BC39" s="116"/>
      <c r="BD39" s="117">
        <f t="shared" si="6"/>
      </c>
      <c r="BE39" s="120">
        <f>IF(AND($F$8&lt;4,BD39&lt;&gt;""),HLOOKUP(MATCH(ER39,EZ39:FB39,0),Discards,1,FALSE),"")</f>
      </c>
      <c r="BF39" s="117">
        <f t="shared" si="117"/>
        <v>0</v>
      </c>
      <c r="BG39" s="118">
        <f ca="1">IF(OR(AW39&lt;&gt;"",AY39&lt;&gt;""),RANK(BF39,BF$11:INDIRECT(BF$7,FALSE)),"")</f>
      </c>
      <c r="BH39" s="119"/>
      <c r="BI39" s="5"/>
      <c r="BJ39" s="113">
        <f t="shared" si="96"/>
      </c>
      <c r="BK39" s="21"/>
      <c r="BL39" s="114">
        <f t="shared" si="118"/>
      </c>
      <c r="BM39" s="114">
        <f t="shared" si="119"/>
        <v>0</v>
      </c>
      <c r="BN39" s="115">
        <f ca="1">IF(OR(BI39&lt;&gt;"",BK39&lt;&gt;""),RANK(BM39,BM$11:INDIRECT(BM$7,FALSE)),"")</f>
      </c>
      <c r="BO39" s="116"/>
      <c r="BP39" s="117">
        <f t="shared" si="8"/>
      </c>
      <c r="BQ39" s="120">
        <f>IF(AND($F$8&lt;5,BP39&lt;&gt;""),HLOOKUP(MATCH(ES39,EZ39:FC39,0),Discards,1,FALSE),"")</f>
      </c>
      <c r="BR39" s="117">
        <f t="shared" si="120"/>
        <v>0</v>
      </c>
      <c r="BS39" s="118">
        <f ca="1">IF(OR(BI39&lt;&gt;"",BK39&lt;&gt;""),RANK(BR39,BR$11:INDIRECT(BR$7,FALSE)),"")</f>
      </c>
      <c r="BT39" s="119"/>
      <c r="BU39" s="5"/>
      <c r="BV39" s="113">
        <f t="shared" si="97"/>
      </c>
      <c r="BW39" s="21"/>
      <c r="BX39" s="114">
        <f t="shared" si="121"/>
      </c>
      <c r="BY39" s="114">
        <f t="shared" si="122"/>
        <v>0</v>
      </c>
      <c r="BZ39" s="115">
        <f ca="1">IF(OR(BU39&lt;&gt;"",BW39&lt;&gt;""),RANK(BY39,BY$11:INDIRECT(BY$7,FALSE)),"")</f>
      </c>
      <c r="CA39" s="116"/>
      <c r="CB39" s="117">
        <f t="shared" si="10"/>
      </c>
      <c r="CC39" s="120">
        <f>IF(AND($F$8&lt;6,CB39&lt;&gt;""),HLOOKUP(MATCH(ET39,EZ39:FD39,0),Discards,1,FALSE),"")</f>
      </c>
      <c r="CD39" s="117">
        <f t="shared" si="123"/>
        <v>0</v>
      </c>
      <c r="CE39" s="118">
        <f ca="1">IF(OR(BU39&lt;&gt;"",BW39&lt;&gt;""),RANK(CD39,CD$11:INDIRECT(CD$7,FALSE)),"")</f>
      </c>
      <c r="CF39" s="119"/>
      <c r="CG39" s="5"/>
      <c r="CH39" s="113">
        <f t="shared" si="98"/>
      </c>
      <c r="CI39" s="21"/>
      <c r="CJ39" s="114">
        <f t="shared" si="124"/>
      </c>
      <c r="CK39" s="114">
        <f t="shared" si="125"/>
        <v>0</v>
      </c>
      <c r="CL39" s="115">
        <f ca="1">IF(OR(CG39&lt;&gt;"",CI39&lt;&gt;""),RANK(CK39,CK$11:INDIRECT(CK$7,FALSE)),"")</f>
      </c>
      <c r="CM39" s="116"/>
      <c r="CN39" s="117">
        <f t="shared" si="12"/>
      </c>
      <c r="CO39" s="120">
        <f>IF(AND($F$8&lt;7,CN39&lt;&gt;""),HLOOKUP(MATCH(EU39,EZ39:FE39,0),Discards,1,FALSE),"")</f>
      </c>
      <c r="CP39" s="117">
        <f t="shared" si="126"/>
        <v>0</v>
      </c>
      <c r="CQ39" s="118">
        <f ca="1">IF(OR(CG39&lt;&gt;"",CI39&lt;&gt;""),RANK(CP39,CP$11:INDIRECT(CP$7,FALSE)),"")</f>
      </c>
      <c r="CR39" s="119"/>
      <c r="CS39" s="5"/>
      <c r="CT39" s="113">
        <f t="shared" si="99"/>
      </c>
      <c r="CU39" s="21"/>
      <c r="CV39" s="114">
        <f t="shared" si="127"/>
      </c>
      <c r="CW39" s="114">
        <f t="shared" si="128"/>
        <v>0</v>
      </c>
      <c r="CX39" s="115">
        <f ca="1">IF(OR(CS39&lt;&gt;"",CU39&lt;&gt;""),RANK(CW39,CW$11:INDIRECT(CW$7,FALSE)),"")</f>
      </c>
      <c r="CY39" s="116"/>
      <c r="CZ39" s="117">
        <f t="shared" si="14"/>
      </c>
      <c r="DA39" s="120">
        <f>IF(AND($F$8&lt;8,CZ39&lt;&gt;""),HLOOKUP(MATCH(EV39,EZ39:FF39,0),Discards,1,FALSE),"")</f>
      </c>
      <c r="DB39" s="117">
        <f t="shared" si="129"/>
        <v>0</v>
      </c>
      <c r="DC39" s="118">
        <f ca="1">IF(OR(CS39&lt;&gt;"",CU39&lt;&gt;""),RANK(DB39,DB$11:INDIRECT(DB$7,FALSE)),"")</f>
      </c>
      <c r="DD39" s="119"/>
      <c r="DE39" s="5"/>
      <c r="DF39" s="113">
        <f t="shared" si="100"/>
      </c>
      <c r="DG39" s="21"/>
      <c r="DH39" s="114">
        <f t="shared" si="130"/>
      </c>
      <c r="DI39" s="114">
        <f t="shared" si="131"/>
        <v>0</v>
      </c>
      <c r="DJ39" s="115">
        <f ca="1">IF(OR(DE39&lt;&gt;"",DG39&lt;&gt;""),RANK(DI39,DI$11:INDIRECT(DI$7,FALSE)),"")</f>
      </c>
      <c r="DK39" s="116"/>
      <c r="DL39" s="117">
        <f t="shared" si="16"/>
      </c>
      <c r="DM39" s="120">
        <f>IF(AND($F$8&lt;9,DL39&lt;&gt;""),HLOOKUP(MATCH(EW39,EZ39:FG39,0),Discards,1,FALSE),"")</f>
      </c>
      <c r="DN39" s="117">
        <f t="shared" si="132"/>
        <v>0</v>
      </c>
      <c r="DO39" s="118">
        <f ca="1">IF(OR(DE39&lt;&gt;"",DG39&lt;&gt;""),RANK(DN39,DN$11:INDIRECT(DN$7,FALSE)),"")</f>
      </c>
      <c r="DP39" s="119"/>
      <c r="DQ39" s="5"/>
      <c r="DR39" s="113">
        <f t="shared" si="101"/>
      </c>
      <c r="DS39" s="21"/>
      <c r="DT39" s="114">
        <f t="shared" si="133"/>
      </c>
      <c r="DU39" s="114">
        <f t="shared" si="134"/>
        <v>0</v>
      </c>
      <c r="DV39" s="115">
        <f ca="1">IF(OR(DQ39&lt;&gt;"",DS39&lt;&gt;""),RANK(DU39,DU$11:INDIRECT(DU$7,FALSE)),"")</f>
      </c>
      <c r="DW39" s="116"/>
      <c r="DX39" s="117">
        <f t="shared" si="18"/>
      </c>
      <c r="DY39" s="120">
        <f>IF(AND($F$8&lt;10,DX39&lt;&gt;""),HLOOKUP(MATCH(EX39,EZ39:FH39,0),Discards,1,FALSE),"")</f>
      </c>
      <c r="DZ39" s="117">
        <f t="shared" si="135"/>
        <v>0</v>
      </c>
      <c r="EA39" s="118">
        <f ca="1">IF(OR(DQ39&lt;&gt;"",DS39&lt;&gt;""),RANK(DZ39,DZ$11:INDIRECT(DZ$7,FALSE)),"")</f>
      </c>
      <c r="EB39" s="119"/>
      <c r="EC39" s="5"/>
      <c r="ED39" s="113">
        <f t="shared" si="102"/>
      </c>
      <c r="EE39" s="21"/>
      <c r="EF39" s="114">
        <f t="shared" si="136"/>
      </c>
      <c r="EG39" s="114">
        <f t="shared" si="137"/>
        <v>0</v>
      </c>
      <c r="EH39" s="115">
        <f ca="1">IF(OR(EC39&lt;&gt;"",EE39&lt;&gt;""),RANK(EG39,EG$11:INDIRECT(EG$7,FALSE)),"")</f>
      </c>
      <c r="EI39" s="116"/>
      <c r="EJ39" s="117">
        <f t="shared" si="20"/>
      </c>
      <c r="EK39" s="120">
        <f>IF(AND($F$8&lt;11,EJ39&lt;&gt;""),HLOOKUP(MATCH(EY39,EZ39:FI39,0),Discards,1,FALSE),"")</f>
      </c>
      <c r="EL39" s="117">
        <f t="shared" si="138"/>
        <v>0</v>
      </c>
      <c r="EM39" s="118">
        <f ca="1">IF(OR(EC39&lt;&gt;"",EE39&lt;&gt;""),RANK(EL39,EL$11:INDIRECT(EL$7,FALSE)),"")</f>
      </c>
      <c r="EN39" s="121"/>
      <c r="EP39" s="112">
        <f t="shared" si="139"/>
        <v>0</v>
      </c>
      <c r="EQ39" s="28">
        <f>MIN($EZ39:FA39)</f>
        <v>0</v>
      </c>
      <c r="ER39" s="28">
        <f>MIN($EZ39:FB39)</f>
        <v>0</v>
      </c>
      <c r="ES39" s="28">
        <f>MIN($EZ39:FC39)</f>
        <v>0</v>
      </c>
      <c r="ET39" s="28">
        <f>MIN($EZ39:FD39)</f>
        <v>0</v>
      </c>
      <c r="EU39" s="28">
        <f>MIN($EZ39:FE39)</f>
        <v>0</v>
      </c>
      <c r="EV39" s="28">
        <f>MIN($EZ39:FF39)</f>
        <v>0</v>
      </c>
      <c r="EW39" s="28">
        <f>MIN($EZ39:FG39)</f>
        <v>0</v>
      </c>
      <c r="EX39" s="28">
        <f>MIN($EZ39:FH39)</f>
        <v>0</v>
      </c>
      <c r="EY39" s="28">
        <f>MIN($EZ39:FI39)</f>
        <v>0</v>
      </c>
      <c r="EZ39" s="28">
        <f t="shared" si="21"/>
      </c>
      <c r="FA39" s="28">
        <f t="shared" si="22"/>
      </c>
      <c r="FB39" s="28">
        <f t="shared" si="23"/>
      </c>
      <c r="FC39" s="28">
        <f t="shared" si="24"/>
      </c>
      <c r="FD39" s="28">
        <f t="shared" si="25"/>
      </c>
      <c r="FE39" s="28">
        <f t="shared" si="26"/>
      </c>
      <c r="FF39" s="28">
        <f t="shared" si="27"/>
      </c>
      <c r="FG39" s="28">
        <f t="shared" si="28"/>
      </c>
      <c r="FH39" s="28">
        <f t="shared" si="29"/>
      </c>
      <c r="FI39" s="28">
        <f t="shared" si="30"/>
      </c>
      <c r="FL39" s="26">
        <f t="shared" si="140"/>
        <v>255000000</v>
      </c>
      <c r="FM39" s="26">
        <f t="shared" si="141"/>
        <v>255000</v>
      </c>
      <c r="FN39" s="26">
        <f t="shared" si="142"/>
        <v>255</v>
      </c>
      <c r="FO39" s="26">
        <f>IF(C39&lt;&gt;"",SUM(FL39:FN39),0)</f>
        <v>0</v>
      </c>
      <c r="FP39" s="26">
        <f ca="1">IF(FO39&gt;0,SMALL($FO$11:INDIRECT($FO$7,FALSE),A39),0)</f>
        <v>0</v>
      </c>
      <c r="FQ39" s="26">
        <f t="shared" si="143"/>
        <v>0</v>
      </c>
      <c r="FR39" s="26">
        <f t="shared" si="144"/>
        <v>0</v>
      </c>
      <c r="FS39" s="26">
        <f t="shared" si="145"/>
        <v>0</v>
      </c>
      <c r="FT39" s="26">
        <f t="shared" si="146"/>
      </c>
      <c r="FU39" s="26">
        <f t="shared" si="147"/>
        <v>24</v>
      </c>
      <c r="FV39" s="28">
        <f t="shared" si="31"/>
      </c>
      <c r="FW39" s="26">
        <f t="shared" si="159"/>
      </c>
      <c r="FX39" s="28">
        <f t="shared" si="148"/>
      </c>
      <c r="FY39" s="26">
        <f ca="1">IF(FX39&lt;&gt;"",RANK(FX39,FX$11:INDIRECT(FX$7,FALSE)),"")</f>
      </c>
      <c r="FZ39" s="26">
        <f t="shared" si="149"/>
      </c>
      <c r="GA39" s="26">
        <f t="shared" si="81"/>
      </c>
      <c r="GC39" s="27">
        <f t="shared" si="32"/>
      </c>
      <c r="GD39" s="27">
        <f t="shared" si="33"/>
      </c>
      <c r="GE39" s="27">
        <f t="shared" si="82"/>
      </c>
      <c r="GF39" s="27">
        <f t="shared" si="150"/>
      </c>
      <c r="GG39" s="27">
        <f t="shared" si="151"/>
        <v>0</v>
      </c>
      <c r="GH39" s="26">
        <f t="shared" si="152"/>
        <v>0</v>
      </c>
      <c r="GI39" s="26">
        <f t="shared" si="153"/>
        <v>0</v>
      </c>
      <c r="GJ39" s="26">
        <f t="shared" si="154"/>
        <v>0</v>
      </c>
      <c r="GK39" s="26">
        <f t="shared" si="155"/>
      </c>
      <c r="GL39" s="28">
        <f t="shared" si="156"/>
      </c>
      <c r="GM39" s="26">
        <f t="shared" si="157"/>
      </c>
    </row>
    <row r="40" spans="1:195" ht="12.75">
      <c r="A40" s="132">
        <f t="shared" si="158"/>
        <v>30</v>
      </c>
      <c r="B40" s="133"/>
      <c r="C40" s="134"/>
      <c r="D40" s="135"/>
      <c r="E40" s="134"/>
      <c r="F40" s="134"/>
      <c r="G40" s="149"/>
      <c r="H40" s="136">
        <f t="shared" si="103"/>
      </c>
      <c r="I40" s="137">
        <f t="shared" si="104"/>
      </c>
      <c r="J40" s="137">
        <f>AD40+AO40+BA40+BM40+BY40+CK40+CW40+DI40+DU40+EG40-(MIN(EZ40:FI40)*$EY$2)</f>
        <v>0</v>
      </c>
      <c r="K40" s="140">
        <f ca="1">IF(I40&lt;&gt;"",RANK(I40,J$11:INDIRECT(J$7,FALSE)),"")</f>
      </c>
      <c r="L40" s="137">
        <f t="shared" si="105"/>
      </c>
      <c r="M40" s="137">
        <f t="shared" si="106"/>
        <v>0</v>
      </c>
      <c r="N40" s="138">
        <f t="shared" si="1"/>
      </c>
      <c r="O40" s="159"/>
      <c r="P40" s="160">
        <f t="shared" si="38"/>
      </c>
      <c r="Q40" s="161"/>
      <c r="R40" s="162">
        <f t="shared" si="39"/>
      </c>
      <c r="S40" s="162">
        <f t="shared" si="40"/>
        <v>0</v>
      </c>
      <c r="T40" s="163">
        <f ca="1">IF(OR(O40&lt;&gt;"",Q40&lt;&gt;""),RANK(S40,S$11:INDIRECT(S$7,FALSE)),"")</f>
      </c>
      <c r="U40" s="164"/>
      <c r="V40" s="165"/>
      <c r="W40" s="165"/>
      <c r="X40" s="166"/>
      <c r="Y40" s="167"/>
      <c r="Z40" s="228"/>
      <c r="AA40" s="113">
        <f t="shared" si="107"/>
      </c>
      <c r="AB40" s="21"/>
      <c r="AC40" s="114">
        <f t="shared" si="108"/>
      </c>
      <c r="AD40" s="114">
        <f t="shared" si="109"/>
        <v>0</v>
      </c>
      <c r="AE40" s="115">
        <f ca="1">IF(OR(Z40&lt;&gt;"",AB40&lt;&gt;""),RANK(AD40,AD$11:INDIRECT(AD$7,FALSE)),"")</f>
      </c>
      <c r="AF40" s="116"/>
      <c r="AG40" s="117">
        <f t="shared" si="110"/>
      </c>
      <c r="AH40" s="117">
        <f t="shared" si="111"/>
        <v>0</v>
      </c>
      <c r="AI40" s="118">
        <f ca="1">IF(OR(Z40&lt;&gt;"",AB40&lt;&gt;""),RANK(AH40,AH$11:INDIRECT(AH$7,FALSE)),"")</f>
      </c>
      <c r="AJ40" s="119"/>
      <c r="AK40" s="5"/>
      <c r="AL40" s="113">
        <f t="shared" si="112"/>
      </c>
      <c r="AM40" s="21"/>
      <c r="AN40" s="114">
        <f t="shared" si="113"/>
      </c>
      <c r="AO40" s="114">
        <f t="shared" si="114"/>
        <v>0</v>
      </c>
      <c r="AP40" s="115">
        <f ca="1">IF(OR(AK40&lt;&gt;"",AM40&lt;&gt;""),RANK(AO40,AO$11:INDIRECT(AO$7,FALSE)),"")</f>
      </c>
      <c r="AQ40" s="116"/>
      <c r="AR40" s="117">
        <f t="shared" si="3"/>
      </c>
      <c r="AS40" s="120">
        <f>IF(AND($F$8&lt;3,AR40&lt;&gt;""),HLOOKUP(MATCH(EQ40,EZ40:FA40,0),Discards,1,FALSE),"")</f>
      </c>
      <c r="AT40" s="117">
        <f t="shared" si="4"/>
        <v>0</v>
      </c>
      <c r="AU40" s="118">
        <f ca="1">IF(OR(AK40&lt;&gt;"",AM40&lt;&gt;""),RANK(AT40,AT$11:INDIRECT(AT$7,FALSE)),"")</f>
      </c>
      <c r="AV40" s="119"/>
      <c r="AW40" s="5"/>
      <c r="AX40" s="113">
        <f t="shared" si="95"/>
      </c>
      <c r="AY40" s="21"/>
      <c r="AZ40" s="114">
        <f t="shared" si="115"/>
      </c>
      <c r="BA40" s="114">
        <f t="shared" si="116"/>
        <v>0</v>
      </c>
      <c r="BB40" s="115">
        <f ca="1">IF(OR(AW40&lt;&gt;"",AY40&lt;&gt;""),RANK(BA40,BA$11:INDIRECT(BA$7,FALSE)),"")</f>
      </c>
      <c r="BC40" s="116"/>
      <c r="BD40" s="117">
        <f t="shared" si="6"/>
      </c>
      <c r="BE40" s="120">
        <f>IF(AND($F$8&lt;4,BD40&lt;&gt;""),HLOOKUP(MATCH(ER40,EZ40:FB40,0),Discards,1,FALSE),"")</f>
      </c>
      <c r="BF40" s="117">
        <f t="shared" si="117"/>
        <v>0</v>
      </c>
      <c r="BG40" s="118">
        <f ca="1">IF(OR(AW40&lt;&gt;"",AY40&lt;&gt;""),RANK(BF40,BF$11:INDIRECT(BF$7,FALSE)),"")</f>
      </c>
      <c r="BH40" s="119"/>
      <c r="BI40" s="5"/>
      <c r="BJ40" s="113">
        <f t="shared" si="96"/>
      </c>
      <c r="BK40" s="21"/>
      <c r="BL40" s="114">
        <f t="shared" si="118"/>
      </c>
      <c r="BM40" s="114">
        <f t="shared" si="119"/>
        <v>0</v>
      </c>
      <c r="BN40" s="115">
        <f ca="1">IF(OR(BI40&lt;&gt;"",BK40&lt;&gt;""),RANK(BM40,BM$11:INDIRECT(BM$7,FALSE)),"")</f>
      </c>
      <c r="BO40" s="116"/>
      <c r="BP40" s="117">
        <f t="shared" si="8"/>
      </c>
      <c r="BQ40" s="120">
        <f>IF(AND($F$8&lt;5,BP40&lt;&gt;""),HLOOKUP(MATCH(ES40,EZ40:FC40,0),Discards,1,FALSE),"")</f>
      </c>
      <c r="BR40" s="117">
        <f t="shared" si="120"/>
        <v>0</v>
      </c>
      <c r="BS40" s="118">
        <f ca="1">IF(OR(BI40&lt;&gt;"",BK40&lt;&gt;""),RANK(BR40,BR$11:INDIRECT(BR$7,FALSE)),"")</f>
      </c>
      <c r="BT40" s="119"/>
      <c r="BU40" s="5"/>
      <c r="BV40" s="113">
        <f t="shared" si="97"/>
      </c>
      <c r="BW40" s="21"/>
      <c r="BX40" s="114">
        <f t="shared" si="121"/>
      </c>
      <c r="BY40" s="114">
        <f t="shared" si="122"/>
        <v>0</v>
      </c>
      <c r="BZ40" s="115">
        <f ca="1">IF(OR(BU40&lt;&gt;"",BW40&lt;&gt;""),RANK(BY40,BY$11:INDIRECT(BY$7,FALSE)),"")</f>
      </c>
      <c r="CA40" s="116"/>
      <c r="CB40" s="117">
        <f t="shared" si="10"/>
      </c>
      <c r="CC40" s="120">
        <f>IF(AND($F$8&lt;6,CB40&lt;&gt;""),HLOOKUP(MATCH(ET40,EZ40:FD40,0),Discards,1,FALSE),"")</f>
      </c>
      <c r="CD40" s="117">
        <f t="shared" si="123"/>
        <v>0</v>
      </c>
      <c r="CE40" s="118">
        <f ca="1">IF(OR(BU40&lt;&gt;"",BW40&lt;&gt;""),RANK(CD40,CD$11:INDIRECT(CD$7,FALSE)),"")</f>
      </c>
      <c r="CF40" s="119"/>
      <c r="CG40" s="5"/>
      <c r="CH40" s="113">
        <f t="shared" si="98"/>
      </c>
      <c r="CI40" s="21"/>
      <c r="CJ40" s="114">
        <f t="shared" si="124"/>
      </c>
      <c r="CK40" s="114">
        <f t="shared" si="125"/>
        <v>0</v>
      </c>
      <c r="CL40" s="115">
        <f ca="1">IF(OR(CG40&lt;&gt;"",CI40&lt;&gt;""),RANK(CK40,CK$11:INDIRECT(CK$7,FALSE)),"")</f>
      </c>
      <c r="CM40" s="116"/>
      <c r="CN40" s="117">
        <f t="shared" si="12"/>
      </c>
      <c r="CO40" s="120">
        <f>IF(AND($F$8&lt;7,CN40&lt;&gt;""),HLOOKUP(MATCH(EU40,EZ40:FE40,0),Discards,1,FALSE),"")</f>
      </c>
      <c r="CP40" s="117">
        <f t="shared" si="126"/>
        <v>0</v>
      </c>
      <c r="CQ40" s="118">
        <f ca="1">IF(OR(CG40&lt;&gt;"",CI40&lt;&gt;""),RANK(CP40,CP$11:INDIRECT(CP$7,FALSE)),"")</f>
      </c>
      <c r="CR40" s="119"/>
      <c r="CS40" s="5"/>
      <c r="CT40" s="113">
        <f t="shared" si="99"/>
      </c>
      <c r="CU40" s="21"/>
      <c r="CV40" s="114">
        <f t="shared" si="127"/>
      </c>
      <c r="CW40" s="114">
        <f t="shared" si="128"/>
        <v>0</v>
      </c>
      <c r="CX40" s="115">
        <f ca="1">IF(OR(CS40&lt;&gt;"",CU40&lt;&gt;""),RANK(CW40,CW$11:INDIRECT(CW$7,FALSE)),"")</f>
      </c>
      <c r="CY40" s="116"/>
      <c r="CZ40" s="117">
        <f t="shared" si="14"/>
      </c>
      <c r="DA40" s="120">
        <f>IF(AND($F$8&lt;8,CZ40&lt;&gt;""),HLOOKUP(MATCH(EV40,EZ40:FF40,0),Discards,1,FALSE),"")</f>
      </c>
      <c r="DB40" s="117">
        <f t="shared" si="129"/>
        <v>0</v>
      </c>
      <c r="DC40" s="118">
        <f ca="1">IF(OR(CS40&lt;&gt;"",CU40&lt;&gt;""),RANK(DB40,DB$11:INDIRECT(DB$7,FALSE)),"")</f>
      </c>
      <c r="DD40" s="119"/>
      <c r="DE40" s="5"/>
      <c r="DF40" s="113">
        <f t="shared" si="100"/>
      </c>
      <c r="DG40" s="21"/>
      <c r="DH40" s="114">
        <f t="shared" si="130"/>
      </c>
      <c r="DI40" s="114">
        <f t="shared" si="131"/>
        <v>0</v>
      </c>
      <c r="DJ40" s="115">
        <f ca="1">IF(OR(DE40&lt;&gt;"",DG40&lt;&gt;""),RANK(DI40,DI$11:INDIRECT(DI$7,FALSE)),"")</f>
      </c>
      <c r="DK40" s="116"/>
      <c r="DL40" s="117">
        <f t="shared" si="16"/>
      </c>
      <c r="DM40" s="120">
        <f>IF(AND($F$8&lt;9,DL40&lt;&gt;""),HLOOKUP(MATCH(EW40,EZ40:FG40,0),Discards,1,FALSE),"")</f>
      </c>
      <c r="DN40" s="117">
        <f t="shared" si="132"/>
        <v>0</v>
      </c>
      <c r="DO40" s="118">
        <f ca="1">IF(OR(DE40&lt;&gt;"",DG40&lt;&gt;""),RANK(DN40,DN$11:INDIRECT(DN$7,FALSE)),"")</f>
      </c>
      <c r="DP40" s="119"/>
      <c r="DQ40" s="5"/>
      <c r="DR40" s="113">
        <f t="shared" si="101"/>
      </c>
      <c r="DS40" s="21"/>
      <c r="DT40" s="114">
        <f t="shared" si="133"/>
      </c>
      <c r="DU40" s="114">
        <f t="shared" si="134"/>
        <v>0</v>
      </c>
      <c r="DV40" s="115">
        <f ca="1">IF(OR(DQ40&lt;&gt;"",DS40&lt;&gt;""),RANK(DU40,DU$11:INDIRECT(DU$7,FALSE)),"")</f>
      </c>
      <c r="DW40" s="116"/>
      <c r="DX40" s="117">
        <f t="shared" si="18"/>
      </c>
      <c r="DY40" s="120">
        <f>IF(AND($F$8&lt;10,DX40&lt;&gt;""),HLOOKUP(MATCH(EX40,EZ40:FH40,0),Discards,1,FALSE),"")</f>
      </c>
      <c r="DZ40" s="117">
        <f t="shared" si="135"/>
        <v>0</v>
      </c>
      <c r="EA40" s="118">
        <f ca="1">IF(OR(DQ40&lt;&gt;"",DS40&lt;&gt;""),RANK(DZ40,DZ$11:INDIRECT(DZ$7,FALSE)),"")</f>
      </c>
      <c r="EB40" s="119"/>
      <c r="EC40" s="5"/>
      <c r="ED40" s="113">
        <f t="shared" si="102"/>
      </c>
      <c r="EE40" s="21"/>
      <c r="EF40" s="114">
        <f t="shared" si="136"/>
      </c>
      <c r="EG40" s="114">
        <f t="shared" si="137"/>
        <v>0</v>
      </c>
      <c r="EH40" s="115">
        <f ca="1">IF(OR(EC40&lt;&gt;"",EE40&lt;&gt;""),RANK(EG40,EG$11:INDIRECT(EG$7,FALSE)),"")</f>
      </c>
      <c r="EI40" s="116"/>
      <c r="EJ40" s="117">
        <f t="shared" si="20"/>
      </c>
      <c r="EK40" s="120">
        <f>IF(AND($F$8&lt;11,EJ40&lt;&gt;""),HLOOKUP(MATCH(EY40,EZ40:FI40,0),Discards,1,FALSE),"")</f>
      </c>
      <c r="EL40" s="117">
        <f t="shared" si="138"/>
        <v>0</v>
      </c>
      <c r="EM40" s="118">
        <f ca="1">IF(OR(EC40&lt;&gt;"",EE40&lt;&gt;""),RANK(EL40,EL$11:INDIRECT(EL$7,FALSE)),"")</f>
      </c>
      <c r="EN40" s="121"/>
      <c r="EP40" s="112">
        <f t="shared" si="139"/>
        <v>0</v>
      </c>
      <c r="EQ40" s="28">
        <f>MIN($EZ40:FA40)</f>
        <v>0</v>
      </c>
      <c r="ER40" s="28">
        <f>MIN($EZ40:FB40)</f>
        <v>0</v>
      </c>
      <c r="ES40" s="28">
        <f>MIN($EZ40:FC40)</f>
        <v>0</v>
      </c>
      <c r="ET40" s="28">
        <f>MIN($EZ40:FD40)</f>
        <v>0</v>
      </c>
      <c r="EU40" s="28">
        <f>MIN($EZ40:FE40)</f>
        <v>0</v>
      </c>
      <c r="EV40" s="28">
        <f>MIN($EZ40:FF40)</f>
        <v>0</v>
      </c>
      <c r="EW40" s="28">
        <f>MIN($EZ40:FG40)</f>
        <v>0</v>
      </c>
      <c r="EX40" s="28">
        <f>MIN($EZ40:FH40)</f>
        <v>0</v>
      </c>
      <c r="EY40" s="28">
        <f>MIN($EZ40:FI40)</f>
        <v>0</v>
      </c>
      <c r="EZ40" s="28">
        <f t="shared" si="21"/>
      </c>
      <c r="FA40" s="28">
        <f t="shared" si="22"/>
      </c>
      <c r="FB40" s="28">
        <f t="shared" si="23"/>
      </c>
      <c r="FC40" s="28">
        <f t="shared" si="24"/>
      </c>
      <c r="FD40" s="28">
        <f t="shared" si="25"/>
      </c>
      <c r="FE40" s="28">
        <f t="shared" si="26"/>
      </c>
      <c r="FF40" s="28">
        <f t="shared" si="27"/>
      </c>
      <c r="FG40" s="28">
        <f t="shared" si="28"/>
      </c>
      <c r="FH40" s="28">
        <f t="shared" si="29"/>
      </c>
      <c r="FI40" s="28">
        <f t="shared" si="30"/>
      </c>
      <c r="FL40" s="26">
        <f t="shared" si="140"/>
        <v>255000000</v>
      </c>
      <c r="FM40" s="26">
        <f t="shared" si="141"/>
        <v>255000</v>
      </c>
      <c r="FN40" s="26">
        <f t="shared" si="142"/>
        <v>255</v>
      </c>
      <c r="FO40" s="26">
        <f>IF(C40&lt;&gt;"",SUM(FL40:FN40),0)</f>
        <v>0</v>
      </c>
      <c r="FP40" s="26">
        <f ca="1">IF(FO40&gt;0,SMALL($FO$11:INDIRECT($FO$7,FALSE),A40),0)</f>
        <v>0</v>
      </c>
      <c r="FQ40" s="26">
        <f t="shared" si="143"/>
        <v>0</v>
      </c>
      <c r="FR40" s="26">
        <f t="shared" si="144"/>
        <v>0</v>
      </c>
      <c r="FS40" s="26">
        <f t="shared" si="145"/>
        <v>0</v>
      </c>
      <c r="FT40" s="26">
        <f t="shared" si="146"/>
      </c>
      <c r="FU40" s="26">
        <f t="shared" si="147"/>
        <v>24</v>
      </c>
      <c r="FV40" s="28">
        <f t="shared" si="31"/>
      </c>
      <c r="FW40" s="26">
        <f t="shared" si="159"/>
      </c>
      <c r="FX40" s="28">
        <f t="shared" si="148"/>
      </c>
      <c r="FY40" s="26">
        <f ca="1">IF(FX40&lt;&gt;"",RANK(FX40,FX$11:INDIRECT(FX$7,FALSE)),"")</f>
      </c>
      <c r="FZ40" s="26">
        <f t="shared" si="149"/>
      </c>
      <c r="GA40" s="26">
        <f t="shared" si="81"/>
      </c>
      <c r="GC40" s="27">
        <f t="shared" si="32"/>
      </c>
      <c r="GD40" s="27">
        <f t="shared" si="33"/>
      </c>
      <c r="GE40" s="27">
        <f t="shared" si="82"/>
      </c>
      <c r="GF40" s="27">
        <f t="shared" si="150"/>
      </c>
      <c r="GG40" s="27">
        <f t="shared" si="151"/>
        <v>0</v>
      </c>
      <c r="GH40" s="26">
        <f t="shared" si="152"/>
        <v>0</v>
      </c>
      <c r="GI40" s="26">
        <f t="shared" si="153"/>
        <v>0</v>
      </c>
      <c r="GJ40" s="26">
        <f t="shared" si="154"/>
        <v>0</v>
      </c>
      <c r="GK40" s="26">
        <f t="shared" si="155"/>
      </c>
      <c r="GL40" s="28">
        <f t="shared" si="156"/>
      </c>
      <c r="GM40" s="26">
        <f t="shared" si="157"/>
      </c>
    </row>
    <row r="41" spans="1:195" ht="12.75">
      <c r="A41" s="16">
        <f t="shared" si="158"/>
        <v>31</v>
      </c>
      <c r="B41" s="17"/>
      <c r="C41" s="18"/>
      <c r="D41" s="19"/>
      <c r="E41" s="18"/>
      <c r="F41" s="18"/>
      <c r="G41" s="148"/>
      <c r="H41" s="122">
        <f t="shared" si="103"/>
      </c>
      <c r="I41" s="30">
        <f t="shared" si="104"/>
      </c>
      <c r="J41" s="30">
        <f>AD41+AO41+BA41+BM41+BY41+CK41+CW41+DI41+DU41+EG41-(MIN(EZ41:FI41)*$EY$2)</f>
        <v>0</v>
      </c>
      <c r="K41" s="139">
        <f ca="1">IF(I41&lt;&gt;"",RANK(I41,J$11:INDIRECT(J$7,FALSE)),"")</f>
      </c>
      <c r="L41" s="102">
        <f t="shared" si="105"/>
      </c>
      <c r="M41" s="102">
        <f t="shared" si="106"/>
        <v>0</v>
      </c>
      <c r="N41" s="51">
        <f t="shared" si="1"/>
      </c>
      <c r="O41" s="150"/>
      <c r="P41" s="151">
        <f t="shared" si="38"/>
      </c>
      <c r="Q41" s="152"/>
      <c r="R41" s="153">
        <f t="shared" si="39"/>
      </c>
      <c r="S41" s="153">
        <f t="shared" si="40"/>
        <v>0</v>
      </c>
      <c r="T41" s="154">
        <f ca="1">IF(OR(O41&lt;&gt;"",Q41&lt;&gt;""),RANK(S41,S$11:INDIRECT(S$7,FALSE)),"")</f>
      </c>
      <c r="U41" s="155"/>
      <c r="V41" s="156"/>
      <c r="W41" s="156"/>
      <c r="X41" s="157"/>
      <c r="Y41" s="158"/>
      <c r="Z41" s="227"/>
      <c r="AA41" s="103">
        <f t="shared" si="107"/>
      </c>
      <c r="AB41" s="20"/>
      <c r="AC41" s="104">
        <f t="shared" si="108"/>
      </c>
      <c r="AD41" s="104">
        <f t="shared" si="109"/>
        <v>0</v>
      </c>
      <c r="AE41" s="105">
        <f ca="1">IF(OR(Z41&lt;&gt;"",AB41&lt;&gt;""),RANK(AD41,AD$11:INDIRECT(AD$7,FALSE)),"")</f>
      </c>
      <c r="AF41" s="106"/>
      <c r="AG41" s="107">
        <f t="shared" si="110"/>
      </c>
      <c r="AH41" s="107">
        <f t="shared" si="111"/>
        <v>0</v>
      </c>
      <c r="AI41" s="108">
        <f ca="1">IF(OR(Z41&lt;&gt;"",AB41&lt;&gt;""),RANK(AH41,AH$11:INDIRECT(AH$7,FALSE)),"")</f>
      </c>
      <c r="AJ41" s="109"/>
      <c r="AK41" s="4"/>
      <c r="AL41" s="103">
        <f t="shared" si="112"/>
      </c>
      <c r="AM41" s="20"/>
      <c r="AN41" s="104">
        <f t="shared" si="113"/>
      </c>
      <c r="AO41" s="104">
        <f t="shared" si="114"/>
        <v>0</v>
      </c>
      <c r="AP41" s="105">
        <f ca="1">IF(OR(AK41&lt;&gt;"",AM41&lt;&gt;""),RANK(AO41,AO$11:INDIRECT(AO$7,FALSE)),"")</f>
      </c>
      <c r="AQ41" s="106"/>
      <c r="AR41" s="107">
        <f t="shared" si="3"/>
      </c>
      <c r="AS41" s="110">
        <f>IF(AND($F$8&lt;3,AR41&lt;&gt;""),HLOOKUP(MATCH(EQ41,EZ41:FA41,0),Discards,1,FALSE),"")</f>
      </c>
      <c r="AT41" s="107">
        <f t="shared" si="4"/>
        <v>0</v>
      </c>
      <c r="AU41" s="108">
        <f ca="1">IF(OR(AK41&lt;&gt;"",AM41&lt;&gt;""),RANK(AT41,AT$11:INDIRECT(AT$7,FALSE)),"")</f>
      </c>
      <c r="AV41" s="109"/>
      <c r="AW41" s="4"/>
      <c r="AX41" s="103">
        <f t="shared" si="95"/>
      </c>
      <c r="AY41" s="20"/>
      <c r="AZ41" s="104">
        <f t="shared" si="115"/>
      </c>
      <c r="BA41" s="104">
        <f t="shared" si="116"/>
        <v>0</v>
      </c>
      <c r="BB41" s="105">
        <f ca="1">IF(OR(AW41&lt;&gt;"",AY41&lt;&gt;""),RANK(BA41,BA$11:INDIRECT(BA$7,FALSE)),"")</f>
      </c>
      <c r="BC41" s="106"/>
      <c r="BD41" s="107">
        <f t="shared" si="6"/>
      </c>
      <c r="BE41" s="110">
        <f>IF(AND($F$8&lt;4,BD41&lt;&gt;""),HLOOKUP(MATCH(ER41,EZ41:FB41,0),Discards,1,FALSE),"")</f>
      </c>
      <c r="BF41" s="107">
        <f t="shared" si="117"/>
        <v>0</v>
      </c>
      <c r="BG41" s="108">
        <f ca="1">IF(OR(AW41&lt;&gt;"",AY41&lt;&gt;""),RANK(BF41,BF$11:INDIRECT(BF$7,FALSE)),"")</f>
      </c>
      <c r="BH41" s="109"/>
      <c r="BI41" s="4"/>
      <c r="BJ41" s="103">
        <f t="shared" si="96"/>
      </c>
      <c r="BK41" s="20"/>
      <c r="BL41" s="104">
        <f t="shared" si="118"/>
      </c>
      <c r="BM41" s="104">
        <f t="shared" si="119"/>
        <v>0</v>
      </c>
      <c r="BN41" s="105">
        <f ca="1">IF(OR(BI41&lt;&gt;"",BK41&lt;&gt;""),RANK(BM41,BM$11:INDIRECT(BM$7,FALSE)),"")</f>
      </c>
      <c r="BO41" s="106"/>
      <c r="BP41" s="107">
        <f t="shared" si="8"/>
      </c>
      <c r="BQ41" s="110">
        <f>IF(AND($F$8&lt;5,BP41&lt;&gt;""),HLOOKUP(MATCH(ES41,EZ41:FC41,0),Discards,1,FALSE),"")</f>
      </c>
      <c r="BR41" s="107">
        <f t="shared" si="120"/>
        <v>0</v>
      </c>
      <c r="BS41" s="108">
        <f ca="1">IF(OR(BI41&lt;&gt;"",BK41&lt;&gt;""),RANK(BR41,BR$11:INDIRECT(BR$7,FALSE)),"")</f>
      </c>
      <c r="BT41" s="109"/>
      <c r="BU41" s="4"/>
      <c r="BV41" s="103">
        <f t="shared" si="97"/>
      </c>
      <c r="BW41" s="20"/>
      <c r="BX41" s="104">
        <f t="shared" si="121"/>
      </c>
      <c r="BY41" s="104">
        <f t="shared" si="122"/>
        <v>0</v>
      </c>
      <c r="BZ41" s="105">
        <f ca="1">IF(OR(BU41&lt;&gt;"",BW41&lt;&gt;""),RANK(BY41,BY$11:INDIRECT(BY$7,FALSE)),"")</f>
      </c>
      <c r="CA41" s="106"/>
      <c r="CB41" s="107">
        <f t="shared" si="10"/>
      </c>
      <c r="CC41" s="110">
        <f>IF(AND($F$8&lt;6,CB41&lt;&gt;""),HLOOKUP(MATCH(ET41,EZ41:FD41,0),Discards,1,FALSE),"")</f>
      </c>
      <c r="CD41" s="107">
        <f t="shared" si="123"/>
        <v>0</v>
      </c>
      <c r="CE41" s="108">
        <f ca="1">IF(OR(BU41&lt;&gt;"",BW41&lt;&gt;""),RANK(CD41,CD$11:INDIRECT(CD$7,FALSE)),"")</f>
      </c>
      <c r="CF41" s="109"/>
      <c r="CG41" s="4"/>
      <c r="CH41" s="103">
        <f t="shared" si="98"/>
      </c>
      <c r="CI41" s="20"/>
      <c r="CJ41" s="104">
        <f t="shared" si="124"/>
      </c>
      <c r="CK41" s="104">
        <f t="shared" si="125"/>
        <v>0</v>
      </c>
      <c r="CL41" s="105">
        <f ca="1">IF(OR(CG41&lt;&gt;"",CI41&lt;&gt;""),RANK(CK41,CK$11:INDIRECT(CK$7,FALSE)),"")</f>
      </c>
      <c r="CM41" s="106"/>
      <c r="CN41" s="107">
        <f t="shared" si="12"/>
      </c>
      <c r="CO41" s="110">
        <f>IF(AND($F$8&lt;7,CN41&lt;&gt;""),HLOOKUP(MATCH(EU41,EZ41:FE41,0),Discards,1,FALSE),"")</f>
      </c>
      <c r="CP41" s="107">
        <f t="shared" si="126"/>
        <v>0</v>
      </c>
      <c r="CQ41" s="108">
        <f ca="1">IF(OR(CG41&lt;&gt;"",CI41&lt;&gt;""),RANK(CP41,CP$11:INDIRECT(CP$7,FALSE)),"")</f>
      </c>
      <c r="CR41" s="109"/>
      <c r="CS41" s="4"/>
      <c r="CT41" s="103">
        <f t="shared" si="99"/>
      </c>
      <c r="CU41" s="20"/>
      <c r="CV41" s="104">
        <f t="shared" si="127"/>
      </c>
      <c r="CW41" s="104">
        <f t="shared" si="128"/>
        <v>0</v>
      </c>
      <c r="CX41" s="105">
        <f ca="1">IF(OR(CS41&lt;&gt;"",CU41&lt;&gt;""),RANK(CW41,CW$11:INDIRECT(CW$7,FALSE)),"")</f>
      </c>
      <c r="CY41" s="106"/>
      <c r="CZ41" s="107">
        <f t="shared" si="14"/>
      </c>
      <c r="DA41" s="110">
        <f>IF(AND($F$8&lt;8,CZ41&lt;&gt;""),HLOOKUP(MATCH(EV41,EZ41:FF41,0),Discards,1,FALSE),"")</f>
      </c>
      <c r="DB41" s="107">
        <f t="shared" si="129"/>
        <v>0</v>
      </c>
      <c r="DC41" s="108">
        <f ca="1">IF(OR(CS41&lt;&gt;"",CU41&lt;&gt;""),RANK(DB41,DB$11:INDIRECT(DB$7,FALSE)),"")</f>
      </c>
      <c r="DD41" s="109"/>
      <c r="DE41" s="4"/>
      <c r="DF41" s="103">
        <f t="shared" si="100"/>
      </c>
      <c r="DG41" s="20"/>
      <c r="DH41" s="104">
        <f t="shared" si="130"/>
      </c>
      <c r="DI41" s="104">
        <f t="shared" si="131"/>
        <v>0</v>
      </c>
      <c r="DJ41" s="105">
        <f ca="1">IF(OR(DE41&lt;&gt;"",DG41&lt;&gt;""),RANK(DI41,DI$11:INDIRECT(DI$7,FALSE)),"")</f>
      </c>
      <c r="DK41" s="106"/>
      <c r="DL41" s="107">
        <f t="shared" si="16"/>
      </c>
      <c r="DM41" s="110">
        <f>IF(AND($F$8&lt;9,DL41&lt;&gt;""),HLOOKUP(MATCH(EW41,EZ41:FG41,0),Discards,1,FALSE),"")</f>
      </c>
      <c r="DN41" s="107">
        <f t="shared" si="132"/>
        <v>0</v>
      </c>
      <c r="DO41" s="108">
        <f ca="1">IF(OR(DE41&lt;&gt;"",DG41&lt;&gt;""),RANK(DN41,DN$11:INDIRECT(DN$7,FALSE)),"")</f>
      </c>
      <c r="DP41" s="109"/>
      <c r="DQ41" s="4"/>
      <c r="DR41" s="103">
        <f t="shared" si="101"/>
      </c>
      <c r="DS41" s="20"/>
      <c r="DT41" s="104">
        <f t="shared" si="133"/>
      </c>
      <c r="DU41" s="104">
        <f t="shared" si="134"/>
        <v>0</v>
      </c>
      <c r="DV41" s="105">
        <f ca="1">IF(OR(DQ41&lt;&gt;"",DS41&lt;&gt;""),RANK(DU41,DU$11:INDIRECT(DU$7,FALSE)),"")</f>
      </c>
      <c r="DW41" s="106"/>
      <c r="DX41" s="107">
        <f t="shared" si="18"/>
      </c>
      <c r="DY41" s="110">
        <f>IF(AND($F$8&lt;10,DX41&lt;&gt;""),HLOOKUP(MATCH(EX41,EZ41:FH41,0),Discards,1,FALSE),"")</f>
      </c>
      <c r="DZ41" s="107">
        <f t="shared" si="135"/>
        <v>0</v>
      </c>
      <c r="EA41" s="108">
        <f ca="1">IF(OR(DQ41&lt;&gt;"",DS41&lt;&gt;""),RANK(DZ41,DZ$11:INDIRECT(DZ$7,FALSE)),"")</f>
      </c>
      <c r="EB41" s="109"/>
      <c r="EC41" s="4"/>
      <c r="ED41" s="103">
        <f t="shared" si="102"/>
      </c>
      <c r="EE41" s="20"/>
      <c r="EF41" s="104">
        <f t="shared" si="136"/>
      </c>
      <c r="EG41" s="104">
        <f t="shared" si="137"/>
        <v>0</v>
      </c>
      <c r="EH41" s="105">
        <f ca="1">IF(OR(EC41&lt;&gt;"",EE41&lt;&gt;""),RANK(EG41,EG$11:INDIRECT(EG$7,FALSE)),"")</f>
      </c>
      <c r="EI41" s="106"/>
      <c r="EJ41" s="107">
        <f t="shared" si="20"/>
      </c>
      <c r="EK41" s="110">
        <f>IF(AND($F$8&lt;11,EJ41&lt;&gt;""),HLOOKUP(MATCH(EY41,EZ41:FI41,0),Discards,1,FALSE),"")</f>
      </c>
      <c r="EL41" s="107">
        <f t="shared" si="138"/>
        <v>0</v>
      </c>
      <c r="EM41" s="108">
        <f ca="1">IF(OR(EC41&lt;&gt;"",EE41&lt;&gt;""),RANK(EL41,EL$11:INDIRECT(EL$7,FALSE)),"")</f>
      </c>
      <c r="EN41" s="111"/>
      <c r="EP41" s="112">
        <f t="shared" si="139"/>
        <v>0</v>
      </c>
      <c r="EQ41" s="28">
        <f>MIN($EZ41:FA41)</f>
        <v>0</v>
      </c>
      <c r="ER41" s="28">
        <f>MIN($EZ41:FB41)</f>
        <v>0</v>
      </c>
      <c r="ES41" s="28">
        <f>MIN($EZ41:FC41)</f>
        <v>0</v>
      </c>
      <c r="ET41" s="28">
        <f>MIN($EZ41:FD41)</f>
        <v>0</v>
      </c>
      <c r="EU41" s="28">
        <f>MIN($EZ41:FE41)</f>
        <v>0</v>
      </c>
      <c r="EV41" s="28">
        <f>MIN($EZ41:FF41)</f>
        <v>0</v>
      </c>
      <c r="EW41" s="28">
        <f>MIN($EZ41:FG41)</f>
        <v>0</v>
      </c>
      <c r="EX41" s="28">
        <f>MIN($EZ41:FH41)</f>
        <v>0</v>
      </c>
      <c r="EY41" s="28">
        <f>MIN($EZ41:FI41)</f>
        <v>0</v>
      </c>
      <c r="EZ41" s="28">
        <f t="shared" si="21"/>
      </c>
      <c r="FA41" s="28">
        <f t="shared" si="22"/>
      </c>
      <c r="FB41" s="28">
        <f t="shared" si="23"/>
      </c>
      <c r="FC41" s="28">
        <f t="shared" si="24"/>
      </c>
      <c r="FD41" s="28">
        <f t="shared" si="25"/>
      </c>
      <c r="FE41" s="28">
        <f t="shared" si="26"/>
      </c>
      <c r="FF41" s="28">
        <f t="shared" si="27"/>
      </c>
      <c r="FG41" s="28">
        <f t="shared" si="28"/>
      </c>
      <c r="FH41" s="28">
        <f t="shared" si="29"/>
      </c>
      <c r="FI41" s="28">
        <f t="shared" si="30"/>
      </c>
      <c r="FL41" s="26">
        <f t="shared" si="140"/>
        <v>255000000</v>
      </c>
      <c r="FM41" s="26">
        <f t="shared" si="141"/>
        <v>255000</v>
      </c>
      <c r="FN41" s="26">
        <f t="shared" si="142"/>
        <v>255</v>
      </c>
      <c r="FO41" s="26">
        <f>IF(C41&lt;&gt;"",SUM(FL41:FN41),0)</f>
        <v>0</v>
      </c>
      <c r="FP41" s="26">
        <f ca="1">IF(FO41&gt;0,SMALL($FO$11:INDIRECT($FO$7,FALSE),A41),0)</f>
        <v>0</v>
      </c>
      <c r="FQ41" s="26">
        <f t="shared" si="143"/>
        <v>0</v>
      </c>
      <c r="FR41" s="26">
        <f t="shared" si="144"/>
        <v>0</v>
      </c>
      <c r="FS41" s="26">
        <f t="shared" si="145"/>
        <v>0</v>
      </c>
      <c r="FT41" s="26">
        <f t="shared" si="146"/>
      </c>
      <c r="FU41" s="26">
        <f t="shared" si="147"/>
        <v>24</v>
      </c>
      <c r="FV41" s="28">
        <f t="shared" si="31"/>
      </c>
      <c r="FW41" s="26">
        <f t="shared" si="159"/>
      </c>
      <c r="FX41" s="28">
        <f t="shared" si="148"/>
      </c>
      <c r="FY41" s="26">
        <f ca="1">IF(FX41&lt;&gt;"",RANK(FX41,FX$11:INDIRECT(FX$7,FALSE)),"")</f>
      </c>
      <c r="FZ41" s="26">
        <f t="shared" si="149"/>
      </c>
      <c r="GA41" s="26">
        <f t="shared" si="81"/>
      </c>
      <c r="GC41" s="27">
        <f t="shared" si="32"/>
      </c>
      <c r="GD41" s="27">
        <f t="shared" si="33"/>
      </c>
      <c r="GE41" s="27">
        <f t="shared" si="82"/>
      </c>
      <c r="GF41" s="27">
        <f t="shared" si="150"/>
      </c>
      <c r="GG41" s="27">
        <f t="shared" si="151"/>
        <v>0</v>
      </c>
      <c r="GH41" s="26">
        <f t="shared" si="152"/>
        <v>0</v>
      </c>
      <c r="GI41" s="26">
        <f t="shared" si="153"/>
        <v>0</v>
      </c>
      <c r="GJ41" s="26">
        <f t="shared" si="154"/>
        <v>0</v>
      </c>
      <c r="GK41" s="26">
        <f t="shared" si="155"/>
      </c>
      <c r="GL41" s="28">
        <f t="shared" si="156"/>
      </c>
      <c r="GM41" s="26">
        <f t="shared" si="157"/>
      </c>
    </row>
    <row r="42" spans="1:195" ht="12.75">
      <c r="A42" s="16">
        <f t="shared" si="158"/>
        <v>32</v>
      </c>
      <c r="B42" s="17"/>
      <c r="C42" s="18"/>
      <c r="D42" s="19"/>
      <c r="E42" s="18"/>
      <c r="F42" s="18"/>
      <c r="G42" s="148"/>
      <c r="H42" s="122">
        <f t="shared" si="103"/>
      </c>
      <c r="I42" s="30">
        <f t="shared" si="104"/>
      </c>
      <c r="J42" s="30">
        <f>AD42+AO42+BA42+BM42+BY42+CK42+CW42+DI42+DU42+EG42-(MIN(EZ42:FI42)*$EY$2)</f>
        <v>0</v>
      </c>
      <c r="K42" s="139">
        <f ca="1">IF(I42&lt;&gt;"",RANK(I42,J$11:INDIRECT(J$7,FALSE)),"")</f>
      </c>
      <c r="L42" s="102">
        <f t="shared" si="105"/>
      </c>
      <c r="M42" s="102">
        <f t="shared" si="106"/>
        <v>0</v>
      </c>
      <c r="N42" s="51">
        <f t="shared" si="1"/>
      </c>
      <c r="O42" s="150"/>
      <c r="P42" s="151">
        <f t="shared" si="38"/>
      </c>
      <c r="Q42" s="152"/>
      <c r="R42" s="153">
        <f t="shared" si="39"/>
      </c>
      <c r="S42" s="153">
        <f t="shared" si="40"/>
        <v>0</v>
      </c>
      <c r="T42" s="154">
        <f ca="1">IF(OR(O42&lt;&gt;"",Q42&lt;&gt;""),RANK(S42,S$11:INDIRECT(S$7,FALSE)),"")</f>
      </c>
      <c r="U42" s="155"/>
      <c r="V42" s="156"/>
      <c r="W42" s="156"/>
      <c r="X42" s="157"/>
      <c r="Y42" s="158"/>
      <c r="Z42" s="227"/>
      <c r="AA42" s="103">
        <f t="shared" si="107"/>
      </c>
      <c r="AB42" s="20"/>
      <c r="AC42" s="104">
        <f t="shared" si="108"/>
      </c>
      <c r="AD42" s="104">
        <f t="shared" si="109"/>
        <v>0</v>
      </c>
      <c r="AE42" s="105">
        <f ca="1">IF(OR(Z42&lt;&gt;"",AB42&lt;&gt;""),RANK(AD42,AD$11:INDIRECT(AD$7,FALSE)),"")</f>
      </c>
      <c r="AF42" s="106"/>
      <c r="AG42" s="107">
        <f t="shared" si="110"/>
      </c>
      <c r="AH42" s="107">
        <f t="shared" si="111"/>
        <v>0</v>
      </c>
      <c r="AI42" s="108">
        <f ca="1">IF(OR(Z42&lt;&gt;"",AB42&lt;&gt;""),RANK(AH42,AH$11:INDIRECT(AH$7,FALSE)),"")</f>
      </c>
      <c r="AJ42" s="109"/>
      <c r="AK42" s="4"/>
      <c r="AL42" s="103">
        <f t="shared" si="112"/>
      </c>
      <c r="AM42" s="20"/>
      <c r="AN42" s="104">
        <f t="shared" si="113"/>
      </c>
      <c r="AO42" s="104">
        <f t="shared" si="114"/>
        <v>0</v>
      </c>
      <c r="AP42" s="105">
        <f ca="1">IF(OR(AK42&lt;&gt;"",AM42&lt;&gt;""),RANK(AO42,AO$11:INDIRECT(AO$7,FALSE)),"")</f>
      </c>
      <c r="AQ42" s="106"/>
      <c r="AR42" s="107">
        <f t="shared" si="3"/>
      </c>
      <c r="AS42" s="110">
        <f>IF(AND($F$8&lt;3,AR42&lt;&gt;""),HLOOKUP(MATCH(EQ42,EZ42:FA42,0),Discards,1,FALSE),"")</f>
      </c>
      <c r="AT42" s="107">
        <f t="shared" si="4"/>
        <v>0</v>
      </c>
      <c r="AU42" s="108">
        <f ca="1">IF(OR(AK42&lt;&gt;"",AM42&lt;&gt;""),RANK(AT42,AT$11:INDIRECT(AT$7,FALSE)),"")</f>
      </c>
      <c r="AV42" s="109"/>
      <c r="AW42" s="4"/>
      <c r="AX42" s="103">
        <f t="shared" si="95"/>
      </c>
      <c r="AY42" s="20"/>
      <c r="AZ42" s="104">
        <f t="shared" si="115"/>
      </c>
      <c r="BA42" s="104">
        <f t="shared" si="116"/>
        <v>0</v>
      </c>
      <c r="BB42" s="105">
        <f ca="1">IF(OR(AW42&lt;&gt;"",AY42&lt;&gt;""),RANK(BA42,BA$11:INDIRECT(BA$7,FALSE)),"")</f>
      </c>
      <c r="BC42" s="106"/>
      <c r="BD42" s="107">
        <f t="shared" si="6"/>
      </c>
      <c r="BE42" s="110">
        <f>IF(AND($F$8&lt;4,BD42&lt;&gt;""),HLOOKUP(MATCH(ER42,EZ42:FB42,0),Discards,1,FALSE),"")</f>
      </c>
      <c r="BF42" s="107">
        <f t="shared" si="117"/>
        <v>0</v>
      </c>
      <c r="BG42" s="108">
        <f ca="1">IF(OR(AW42&lt;&gt;"",AY42&lt;&gt;""),RANK(BF42,BF$11:INDIRECT(BF$7,FALSE)),"")</f>
      </c>
      <c r="BH42" s="109"/>
      <c r="BI42" s="4"/>
      <c r="BJ42" s="103">
        <f t="shared" si="96"/>
      </c>
      <c r="BK42" s="20"/>
      <c r="BL42" s="104">
        <f t="shared" si="118"/>
      </c>
      <c r="BM42" s="104">
        <f t="shared" si="119"/>
        <v>0</v>
      </c>
      <c r="BN42" s="105">
        <f ca="1">IF(OR(BI42&lt;&gt;"",BK42&lt;&gt;""),RANK(BM42,BM$11:INDIRECT(BM$7,FALSE)),"")</f>
      </c>
      <c r="BO42" s="106"/>
      <c r="BP42" s="107">
        <f t="shared" si="8"/>
      </c>
      <c r="BQ42" s="110">
        <f>IF(AND($F$8&lt;5,BP42&lt;&gt;""),HLOOKUP(MATCH(ES42,EZ42:FC42,0),Discards,1,FALSE),"")</f>
      </c>
      <c r="BR42" s="107">
        <f t="shared" si="120"/>
        <v>0</v>
      </c>
      <c r="BS42" s="108">
        <f ca="1">IF(OR(BI42&lt;&gt;"",BK42&lt;&gt;""),RANK(BR42,BR$11:INDIRECT(BR$7,FALSE)),"")</f>
      </c>
      <c r="BT42" s="109"/>
      <c r="BU42" s="4"/>
      <c r="BV42" s="103">
        <f t="shared" si="97"/>
      </c>
      <c r="BW42" s="20"/>
      <c r="BX42" s="104">
        <f t="shared" si="121"/>
      </c>
      <c r="BY42" s="104">
        <f t="shared" si="122"/>
        <v>0</v>
      </c>
      <c r="BZ42" s="105">
        <f ca="1">IF(OR(BU42&lt;&gt;"",BW42&lt;&gt;""),RANK(BY42,BY$11:INDIRECT(BY$7,FALSE)),"")</f>
      </c>
      <c r="CA42" s="106"/>
      <c r="CB42" s="107">
        <f t="shared" si="10"/>
      </c>
      <c r="CC42" s="110">
        <f>IF(AND($F$8&lt;6,CB42&lt;&gt;""),HLOOKUP(MATCH(ET42,EZ42:FD42,0),Discards,1,FALSE),"")</f>
      </c>
      <c r="CD42" s="107">
        <f t="shared" si="123"/>
        <v>0</v>
      </c>
      <c r="CE42" s="108">
        <f ca="1">IF(OR(BU42&lt;&gt;"",BW42&lt;&gt;""),RANK(CD42,CD$11:INDIRECT(CD$7,FALSE)),"")</f>
      </c>
      <c r="CF42" s="109"/>
      <c r="CG42" s="4"/>
      <c r="CH42" s="103">
        <f t="shared" si="98"/>
      </c>
      <c r="CI42" s="20"/>
      <c r="CJ42" s="104">
        <f t="shared" si="124"/>
      </c>
      <c r="CK42" s="104">
        <f t="shared" si="125"/>
        <v>0</v>
      </c>
      <c r="CL42" s="105">
        <f ca="1">IF(OR(CG42&lt;&gt;"",CI42&lt;&gt;""),RANK(CK42,CK$11:INDIRECT(CK$7,FALSE)),"")</f>
      </c>
      <c r="CM42" s="106"/>
      <c r="CN42" s="107">
        <f t="shared" si="12"/>
      </c>
      <c r="CO42" s="110">
        <f>IF(AND($F$8&lt;7,CN42&lt;&gt;""),HLOOKUP(MATCH(EU42,EZ42:FE42,0),Discards,1,FALSE),"")</f>
      </c>
      <c r="CP42" s="107">
        <f t="shared" si="126"/>
        <v>0</v>
      </c>
      <c r="CQ42" s="108">
        <f ca="1">IF(OR(CG42&lt;&gt;"",CI42&lt;&gt;""),RANK(CP42,CP$11:INDIRECT(CP$7,FALSE)),"")</f>
      </c>
      <c r="CR42" s="109"/>
      <c r="CS42" s="4"/>
      <c r="CT42" s="103">
        <f t="shared" si="99"/>
      </c>
      <c r="CU42" s="20"/>
      <c r="CV42" s="104">
        <f t="shared" si="127"/>
      </c>
      <c r="CW42" s="104">
        <f t="shared" si="128"/>
        <v>0</v>
      </c>
      <c r="CX42" s="105">
        <f ca="1">IF(OR(CS42&lt;&gt;"",CU42&lt;&gt;""),RANK(CW42,CW$11:INDIRECT(CW$7,FALSE)),"")</f>
      </c>
      <c r="CY42" s="106"/>
      <c r="CZ42" s="107">
        <f t="shared" si="14"/>
      </c>
      <c r="DA42" s="110">
        <f>IF(AND($F$8&lt;8,CZ42&lt;&gt;""),HLOOKUP(MATCH(EV42,EZ42:FF42,0),Discards,1,FALSE),"")</f>
      </c>
      <c r="DB42" s="107">
        <f t="shared" si="129"/>
        <v>0</v>
      </c>
      <c r="DC42" s="108">
        <f ca="1">IF(OR(CS42&lt;&gt;"",CU42&lt;&gt;""),RANK(DB42,DB$11:INDIRECT(DB$7,FALSE)),"")</f>
      </c>
      <c r="DD42" s="109"/>
      <c r="DE42" s="4"/>
      <c r="DF42" s="103">
        <f t="shared" si="100"/>
      </c>
      <c r="DG42" s="20"/>
      <c r="DH42" s="104">
        <f t="shared" si="130"/>
      </c>
      <c r="DI42" s="104">
        <f t="shared" si="131"/>
        <v>0</v>
      </c>
      <c r="DJ42" s="105">
        <f ca="1">IF(OR(DE42&lt;&gt;"",DG42&lt;&gt;""),RANK(DI42,DI$11:INDIRECT(DI$7,FALSE)),"")</f>
      </c>
      <c r="DK42" s="106"/>
      <c r="DL42" s="107">
        <f t="shared" si="16"/>
      </c>
      <c r="DM42" s="110">
        <f>IF(AND($F$8&lt;9,DL42&lt;&gt;""),HLOOKUP(MATCH(EW42,EZ42:FG42,0),Discards,1,FALSE),"")</f>
      </c>
      <c r="DN42" s="107">
        <f t="shared" si="132"/>
        <v>0</v>
      </c>
      <c r="DO42" s="108">
        <f ca="1">IF(OR(DE42&lt;&gt;"",DG42&lt;&gt;""),RANK(DN42,DN$11:INDIRECT(DN$7,FALSE)),"")</f>
      </c>
      <c r="DP42" s="109"/>
      <c r="DQ42" s="4"/>
      <c r="DR42" s="103">
        <f t="shared" si="101"/>
      </c>
      <c r="DS42" s="20"/>
      <c r="DT42" s="104">
        <f t="shared" si="133"/>
      </c>
      <c r="DU42" s="104">
        <f t="shared" si="134"/>
        <v>0</v>
      </c>
      <c r="DV42" s="105">
        <f ca="1">IF(OR(DQ42&lt;&gt;"",DS42&lt;&gt;""),RANK(DU42,DU$11:INDIRECT(DU$7,FALSE)),"")</f>
      </c>
      <c r="DW42" s="106"/>
      <c r="DX42" s="107">
        <f t="shared" si="18"/>
      </c>
      <c r="DY42" s="110">
        <f>IF(AND($F$8&lt;10,DX42&lt;&gt;""),HLOOKUP(MATCH(EX42,EZ42:FH42,0),Discards,1,FALSE),"")</f>
      </c>
      <c r="DZ42" s="107">
        <f t="shared" si="135"/>
        <v>0</v>
      </c>
      <c r="EA42" s="108">
        <f ca="1">IF(OR(DQ42&lt;&gt;"",DS42&lt;&gt;""),RANK(DZ42,DZ$11:INDIRECT(DZ$7,FALSE)),"")</f>
      </c>
      <c r="EB42" s="109"/>
      <c r="EC42" s="4"/>
      <c r="ED42" s="103">
        <f t="shared" si="102"/>
      </c>
      <c r="EE42" s="20"/>
      <c r="EF42" s="104">
        <f t="shared" si="136"/>
      </c>
      <c r="EG42" s="104">
        <f t="shared" si="137"/>
        <v>0</v>
      </c>
      <c r="EH42" s="105">
        <f ca="1">IF(OR(EC42&lt;&gt;"",EE42&lt;&gt;""),RANK(EG42,EG$11:INDIRECT(EG$7,FALSE)),"")</f>
      </c>
      <c r="EI42" s="106"/>
      <c r="EJ42" s="107">
        <f t="shared" si="20"/>
      </c>
      <c r="EK42" s="110">
        <f>IF(AND($F$8&lt;11,EJ42&lt;&gt;""),HLOOKUP(MATCH(EY42,EZ42:FI42,0),Discards,1,FALSE),"")</f>
      </c>
      <c r="EL42" s="107">
        <f t="shared" si="138"/>
        <v>0</v>
      </c>
      <c r="EM42" s="108">
        <f ca="1">IF(OR(EC42&lt;&gt;"",EE42&lt;&gt;""),RANK(EL42,EL$11:INDIRECT(EL$7,FALSE)),"")</f>
      </c>
      <c r="EN42" s="111"/>
      <c r="EP42" s="112">
        <f t="shared" si="139"/>
        <v>0</v>
      </c>
      <c r="EQ42" s="28">
        <f>MIN($EZ42:FA42)</f>
        <v>0</v>
      </c>
      <c r="ER42" s="28">
        <f>MIN($EZ42:FB42)</f>
        <v>0</v>
      </c>
      <c r="ES42" s="28">
        <f>MIN($EZ42:FC42)</f>
        <v>0</v>
      </c>
      <c r="ET42" s="28">
        <f>MIN($EZ42:FD42)</f>
        <v>0</v>
      </c>
      <c r="EU42" s="28">
        <f>MIN($EZ42:FE42)</f>
        <v>0</v>
      </c>
      <c r="EV42" s="28">
        <f>MIN($EZ42:FF42)</f>
        <v>0</v>
      </c>
      <c r="EW42" s="28">
        <f>MIN($EZ42:FG42)</f>
        <v>0</v>
      </c>
      <c r="EX42" s="28">
        <f>MIN($EZ42:FH42)</f>
        <v>0</v>
      </c>
      <c r="EY42" s="28">
        <f>MIN($EZ42:FI42)</f>
        <v>0</v>
      </c>
      <c r="EZ42" s="28">
        <f t="shared" si="21"/>
      </c>
      <c r="FA42" s="28">
        <f t="shared" si="22"/>
      </c>
      <c r="FB42" s="28">
        <f t="shared" si="23"/>
      </c>
      <c r="FC42" s="28">
        <f t="shared" si="24"/>
      </c>
      <c r="FD42" s="28">
        <f t="shared" si="25"/>
      </c>
      <c r="FE42" s="28">
        <f t="shared" si="26"/>
      </c>
      <c r="FF42" s="28">
        <f t="shared" si="27"/>
      </c>
      <c r="FG42" s="28">
        <f t="shared" si="28"/>
      </c>
      <c r="FH42" s="28">
        <f t="shared" si="29"/>
      </c>
      <c r="FI42" s="28">
        <f t="shared" si="30"/>
      </c>
      <c r="FL42" s="26">
        <f t="shared" si="140"/>
        <v>255000000</v>
      </c>
      <c r="FM42" s="26">
        <f t="shared" si="141"/>
        <v>255000</v>
      </c>
      <c r="FN42" s="26">
        <f t="shared" si="142"/>
        <v>255</v>
      </c>
      <c r="FO42" s="26">
        <f>IF(C42&lt;&gt;"",SUM(FL42:FN42),0)</f>
        <v>0</v>
      </c>
      <c r="FP42" s="26">
        <f ca="1">IF(FO42&gt;0,SMALL($FO$11:INDIRECT($FO$7,FALSE),A42),0)</f>
        <v>0</v>
      </c>
      <c r="FQ42" s="26">
        <f t="shared" si="143"/>
        <v>0</v>
      </c>
      <c r="FR42" s="26">
        <f t="shared" si="144"/>
        <v>0</v>
      </c>
      <c r="FS42" s="26">
        <f t="shared" si="145"/>
        <v>0</v>
      </c>
      <c r="FT42" s="26">
        <f t="shared" si="146"/>
      </c>
      <c r="FU42" s="26">
        <f t="shared" si="147"/>
        <v>24</v>
      </c>
      <c r="FV42" s="28">
        <f t="shared" si="31"/>
      </c>
      <c r="FW42" s="26">
        <f t="shared" si="159"/>
      </c>
      <c r="FX42" s="28">
        <f t="shared" si="148"/>
      </c>
      <c r="FY42" s="26">
        <f ca="1">IF(FX42&lt;&gt;"",RANK(FX42,FX$11:INDIRECT(FX$7,FALSE)),"")</f>
      </c>
      <c r="FZ42" s="26">
        <f t="shared" si="149"/>
      </c>
      <c r="GA42" s="26">
        <f t="shared" si="81"/>
      </c>
      <c r="GC42" s="27">
        <f t="shared" si="32"/>
      </c>
      <c r="GD42" s="27">
        <f t="shared" si="33"/>
      </c>
      <c r="GE42" s="27">
        <f t="shared" si="82"/>
      </c>
      <c r="GF42" s="27">
        <f t="shared" si="150"/>
      </c>
      <c r="GG42" s="27">
        <f t="shared" si="151"/>
        <v>0</v>
      </c>
      <c r="GH42" s="26">
        <f t="shared" si="152"/>
        <v>0</v>
      </c>
      <c r="GI42" s="26">
        <f t="shared" si="153"/>
        <v>0</v>
      </c>
      <c r="GJ42" s="26">
        <f t="shared" si="154"/>
        <v>0</v>
      </c>
      <c r="GK42" s="26">
        <f t="shared" si="155"/>
      </c>
      <c r="GL42" s="28">
        <f t="shared" si="156"/>
      </c>
      <c r="GM42" s="26">
        <f t="shared" si="157"/>
      </c>
    </row>
    <row r="43" spans="1:195" ht="12.75">
      <c r="A43" s="16">
        <f t="shared" si="158"/>
        <v>33</v>
      </c>
      <c r="B43" s="17"/>
      <c r="C43" s="18"/>
      <c r="D43" s="19"/>
      <c r="E43" s="18"/>
      <c r="F43" s="18"/>
      <c r="G43" s="148"/>
      <c r="H43" s="122">
        <f t="shared" si="103"/>
      </c>
      <c r="I43" s="30">
        <f t="shared" si="104"/>
      </c>
      <c r="J43" s="30">
        <f>AD43+AO43+BA43+BM43+BY43+CK43+CW43+DI43+DU43+EG43-(MIN(EZ43:FI43)*$EY$2)</f>
        <v>0</v>
      </c>
      <c r="K43" s="139">
        <f ca="1">IF(I43&lt;&gt;"",RANK(I43,J$11:INDIRECT(J$7,FALSE)),"")</f>
      </c>
      <c r="L43" s="102">
        <f t="shared" si="105"/>
      </c>
      <c r="M43" s="102">
        <f t="shared" si="106"/>
        <v>0</v>
      </c>
      <c r="N43" s="51">
        <f aca="true" t="shared" si="160" ref="N43:N62">GA43</f>
      </c>
      <c r="O43" s="150"/>
      <c r="P43" s="151">
        <f t="shared" si="38"/>
      </c>
      <c r="Q43" s="152"/>
      <c r="R43" s="153">
        <f t="shared" si="39"/>
      </c>
      <c r="S43" s="153">
        <f t="shared" si="40"/>
        <v>0</v>
      </c>
      <c r="T43" s="154">
        <f ca="1">IF(OR(O43&lt;&gt;"",Q43&lt;&gt;""),RANK(S43,S$11:INDIRECT(S$7,FALSE)),"")</f>
      </c>
      <c r="U43" s="155"/>
      <c r="V43" s="156"/>
      <c r="W43" s="156"/>
      <c r="X43" s="157"/>
      <c r="Y43" s="158"/>
      <c r="Z43" s="227"/>
      <c r="AA43" s="103">
        <f t="shared" si="107"/>
      </c>
      <c r="AB43" s="20"/>
      <c r="AC43" s="104">
        <f t="shared" si="108"/>
      </c>
      <c r="AD43" s="104">
        <f t="shared" si="109"/>
        <v>0</v>
      </c>
      <c r="AE43" s="105">
        <f ca="1">IF(OR(Z43&lt;&gt;"",AB43&lt;&gt;""),RANK(AD43,AD$11:INDIRECT(AD$7,FALSE)),"")</f>
      </c>
      <c r="AF43" s="106"/>
      <c r="AG43" s="107">
        <f t="shared" si="110"/>
      </c>
      <c r="AH43" s="107">
        <f t="shared" si="111"/>
        <v>0</v>
      </c>
      <c r="AI43" s="108">
        <f ca="1">IF(OR(Z43&lt;&gt;"",AB43&lt;&gt;""),RANK(AH43,AH$11:INDIRECT(AH$7,FALSE)),"")</f>
      </c>
      <c r="AJ43" s="109"/>
      <c r="AK43" s="4"/>
      <c r="AL43" s="103">
        <f t="shared" si="112"/>
      </c>
      <c r="AM43" s="20"/>
      <c r="AN43" s="104">
        <f t="shared" si="113"/>
      </c>
      <c r="AO43" s="104">
        <f t="shared" si="114"/>
        <v>0</v>
      </c>
      <c r="AP43" s="105">
        <f ca="1">IF(OR(AK43&lt;&gt;"",AM43&lt;&gt;""),RANK(AO43,AO$11:INDIRECT(AO$7,FALSE)),"")</f>
      </c>
      <c r="AQ43" s="106"/>
      <c r="AR43" s="107">
        <f aca="true" t="shared" si="161" ref="AR43:AR61">IF(OR(AK43&lt;&gt;"",AM43&lt;&gt;""),AD43+AO43-IF($F$8&lt;3,EQ43,0),"")</f>
      </c>
      <c r="AS43" s="110">
        <f>IF(AND($F$8&lt;3,AR43&lt;&gt;""),HLOOKUP(MATCH(EQ43,EZ43:FA43,0),Discards,1,FALSE),"")</f>
      </c>
      <c r="AT43" s="107">
        <f aca="true" t="shared" si="162" ref="AT43:AT62">IF(OR(AK43&lt;&gt;"",AM43&lt;&gt;""),AR43,0)</f>
        <v>0</v>
      </c>
      <c r="AU43" s="108">
        <f ca="1">IF(OR(AK43&lt;&gt;"",AM43&lt;&gt;""),RANK(AT43,AT$11:INDIRECT(AT$7,FALSE)),"")</f>
      </c>
      <c r="AV43" s="109"/>
      <c r="AW43" s="4"/>
      <c r="AX43" s="103">
        <f aca="true" t="shared" si="163" ref="AX43:AX58">IF(AW43,AW43,"")</f>
      </c>
      <c r="AY43" s="20"/>
      <c r="AZ43" s="104">
        <f t="shared" si="115"/>
      </c>
      <c r="BA43" s="104">
        <f t="shared" si="116"/>
        <v>0</v>
      </c>
      <c r="BB43" s="105">
        <f ca="1">IF(OR(AW43&lt;&gt;"",AY43&lt;&gt;""),RANK(BA43,BA$11:INDIRECT(BA$7,FALSE)),"")</f>
      </c>
      <c r="BC43" s="106"/>
      <c r="BD43" s="107">
        <f aca="true" t="shared" si="164" ref="BD43:BD61">IF(OR(AW43&lt;&gt;"",AY43&lt;&gt;""),AD43+AO43+BA43-IF($F$8&lt;4,ER43,0),"")</f>
      </c>
      <c r="BE43" s="110">
        <f>IF(AND($F$8&lt;4,BD43&lt;&gt;""),HLOOKUP(MATCH(ER43,EZ43:FB43,0),Discards,1,FALSE),"")</f>
      </c>
      <c r="BF43" s="107">
        <f t="shared" si="117"/>
        <v>0</v>
      </c>
      <c r="BG43" s="108">
        <f ca="1">IF(OR(AW43&lt;&gt;"",AY43&lt;&gt;""),RANK(BF43,BF$11:INDIRECT(BF$7,FALSE)),"")</f>
      </c>
      <c r="BH43" s="109"/>
      <c r="BI43" s="4"/>
      <c r="BJ43" s="103">
        <f aca="true" t="shared" si="165" ref="BJ43:BJ58">IF(BI43,BI43,"")</f>
      </c>
      <c r="BK43" s="20"/>
      <c r="BL43" s="104">
        <f t="shared" si="118"/>
      </c>
      <c r="BM43" s="104">
        <f t="shared" si="119"/>
        <v>0</v>
      </c>
      <c r="BN43" s="105">
        <f ca="1">IF(OR(BI43&lt;&gt;"",BK43&lt;&gt;""),RANK(BM43,BM$11:INDIRECT(BM$7,FALSE)),"")</f>
      </c>
      <c r="BO43" s="106"/>
      <c r="BP43" s="107">
        <f aca="true" t="shared" si="166" ref="BP43:BP61">IF(OR(BI43&lt;&gt;"",BK43&lt;&gt;""),AD43+AO43+BA43+BM43-IF($F$8&lt;5,ES43,0),"")</f>
      </c>
      <c r="BQ43" s="110">
        <f>IF(AND($F$8&lt;5,BP43&lt;&gt;""),HLOOKUP(MATCH(ES43,EZ43:FC43,0),Discards,1,FALSE),"")</f>
      </c>
      <c r="BR43" s="107">
        <f t="shared" si="120"/>
        <v>0</v>
      </c>
      <c r="BS43" s="108">
        <f ca="1">IF(OR(BI43&lt;&gt;"",BK43&lt;&gt;""),RANK(BR43,BR$11:INDIRECT(BR$7,FALSE)),"")</f>
      </c>
      <c r="BT43" s="109"/>
      <c r="BU43" s="4"/>
      <c r="BV43" s="103">
        <f aca="true" t="shared" si="167" ref="BV43:BV58">IF(BU43,BU43,"")</f>
      </c>
      <c r="BW43" s="20"/>
      <c r="BX43" s="104">
        <f t="shared" si="121"/>
      </c>
      <c r="BY43" s="104">
        <f t="shared" si="122"/>
        <v>0</v>
      </c>
      <c r="BZ43" s="105">
        <f ca="1">IF(OR(BU43&lt;&gt;"",BW43&lt;&gt;""),RANK(BY43,BY$11:INDIRECT(BY$7,FALSE)),"")</f>
      </c>
      <c r="CA43" s="106"/>
      <c r="CB43" s="107">
        <f aca="true" t="shared" si="168" ref="CB43:CB61">IF(OR(BU43&lt;&gt;"",BW43&lt;&gt;""),AD43+AO43+BA43+BM43+BY43-IF($F$8&lt;6,ET43,0),"")</f>
      </c>
      <c r="CC43" s="110">
        <f>IF(AND($F$8&lt;6,CB43&lt;&gt;""),HLOOKUP(MATCH(ET43,EZ43:FD43,0),Discards,1,FALSE),"")</f>
      </c>
      <c r="CD43" s="107">
        <f t="shared" si="123"/>
        <v>0</v>
      </c>
      <c r="CE43" s="108">
        <f ca="1">IF(OR(BU43&lt;&gt;"",BW43&lt;&gt;""),RANK(CD43,CD$11:INDIRECT(CD$7,FALSE)),"")</f>
      </c>
      <c r="CF43" s="109"/>
      <c r="CG43" s="4"/>
      <c r="CH43" s="103">
        <f aca="true" t="shared" si="169" ref="CH43:CH58">IF(CG43,CG43,"")</f>
      </c>
      <c r="CI43" s="20"/>
      <c r="CJ43" s="104">
        <f t="shared" si="124"/>
      </c>
      <c r="CK43" s="104">
        <f t="shared" si="125"/>
        <v>0</v>
      </c>
      <c r="CL43" s="105">
        <f ca="1">IF(OR(CG43&lt;&gt;"",CI43&lt;&gt;""),RANK(CK43,CK$11:INDIRECT(CK$7,FALSE)),"")</f>
      </c>
      <c r="CM43" s="106"/>
      <c r="CN43" s="107">
        <f aca="true" t="shared" si="170" ref="CN43:CN61">IF(OR(CG43&lt;&gt;"",CI43&lt;&gt;""),AD43+AO43+BA43+BM43+BY43+CK43-IF($F$8&lt;7,EU43,0),"")</f>
      </c>
      <c r="CO43" s="110">
        <f>IF(AND($F$8&lt;7,CN43&lt;&gt;""),HLOOKUP(MATCH(EU43,EZ43:FE43,0),Discards,1,FALSE),"")</f>
      </c>
      <c r="CP43" s="107">
        <f t="shared" si="126"/>
        <v>0</v>
      </c>
      <c r="CQ43" s="108">
        <f ca="1">IF(OR(CG43&lt;&gt;"",CI43&lt;&gt;""),RANK(CP43,CP$11:INDIRECT(CP$7,FALSE)),"")</f>
      </c>
      <c r="CR43" s="109"/>
      <c r="CS43" s="4"/>
      <c r="CT43" s="103">
        <f aca="true" t="shared" si="171" ref="CT43:CT58">IF(CS43,CS43,"")</f>
      </c>
      <c r="CU43" s="20"/>
      <c r="CV43" s="104">
        <f t="shared" si="127"/>
      </c>
      <c r="CW43" s="104">
        <f t="shared" si="128"/>
        <v>0</v>
      </c>
      <c r="CX43" s="105">
        <f ca="1">IF(OR(CS43&lt;&gt;"",CU43&lt;&gt;""),RANK(CW43,CW$11:INDIRECT(CW$7,FALSE)),"")</f>
      </c>
      <c r="CY43" s="106"/>
      <c r="CZ43" s="107">
        <f aca="true" t="shared" si="172" ref="CZ43:CZ61">IF(OR(CS43&lt;&gt;"",CU43&lt;&gt;""),AD43+AO43+BA43+BM43+BY43+CK43+CW43-IF($F$8&lt;8,EV43,0),"")</f>
      </c>
      <c r="DA43" s="110">
        <f>IF(AND($F$8&lt;8,CZ43&lt;&gt;""),HLOOKUP(MATCH(EV43,EZ43:FF43,0),Discards,1,FALSE),"")</f>
      </c>
      <c r="DB43" s="107">
        <f t="shared" si="129"/>
        <v>0</v>
      </c>
      <c r="DC43" s="108">
        <f ca="1">IF(OR(CS43&lt;&gt;"",CU43&lt;&gt;""),RANK(DB43,DB$11:INDIRECT(DB$7,FALSE)),"")</f>
      </c>
      <c r="DD43" s="109"/>
      <c r="DE43" s="4"/>
      <c r="DF43" s="103">
        <f aca="true" t="shared" si="173" ref="DF43:DF58">IF(DE43,DE43,"")</f>
      </c>
      <c r="DG43" s="20"/>
      <c r="DH43" s="104">
        <f t="shared" si="130"/>
      </c>
      <c r="DI43" s="104">
        <f t="shared" si="131"/>
        <v>0</v>
      </c>
      <c r="DJ43" s="105">
        <f ca="1">IF(OR(DE43&lt;&gt;"",DG43&lt;&gt;""),RANK(DI43,DI$11:INDIRECT(DI$7,FALSE)),"")</f>
      </c>
      <c r="DK43" s="106"/>
      <c r="DL43" s="107">
        <f aca="true" t="shared" si="174" ref="DL43:DL61">IF(OR(DE43&lt;&gt;"",DG43&lt;&gt;""),AD43+AO43+BA43+BM43+BY43+CK43+CW43+DI43-IF($F$8&lt;9,EW43,0),"")</f>
      </c>
      <c r="DM43" s="110">
        <f>IF(AND($F$8&lt;9,DL43&lt;&gt;""),HLOOKUP(MATCH(EW43,EZ43:FG43,0),Discards,1,FALSE),"")</f>
      </c>
      <c r="DN43" s="107">
        <f t="shared" si="132"/>
        <v>0</v>
      </c>
      <c r="DO43" s="108">
        <f ca="1">IF(OR(DE43&lt;&gt;"",DG43&lt;&gt;""),RANK(DN43,DN$11:INDIRECT(DN$7,FALSE)),"")</f>
      </c>
      <c r="DP43" s="109"/>
      <c r="DQ43" s="4"/>
      <c r="DR43" s="103">
        <f aca="true" t="shared" si="175" ref="DR43:DR58">IF(DQ43,DQ43,"")</f>
      </c>
      <c r="DS43" s="20"/>
      <c r="DT43" s="104">
        <f t="shared" si="133"/>
      </c>
      <c r="DU43" s="104">
        <f t="shared" si="134"/>
        <v>0</v>
      </c>
      <c r="DV43" s="105">
        <f ca="1">IF(OR(DQ43&lt;&gt;"",DS43&lt;&gt;""),RANK(DU43,DU$11:INDIRECT(DU$7,FALSE)),"")</f>
      </c>
      <c r="DW43" s="106"/>
      <c r="DX43" s="107">
        <f aca="true" t="shared" si="176" ref="DX43:DX61">IF(OR(DQ43&lt;&gt;"",DS43&lt;&gt;""),AD43+AO43+BA43+BM43+BY43+CK43+CW43+DI43+DU43-IF($F$8&lt;10,EX43,0),"")</f>
      </c>
      <c r="DY43" s="110">
        <f>IF(AND($F$8&lt;10,DX43&lt;&gt;""),HLOOKUP(MATCH(EX43,EZ43:FH43,0),Discards,1,FALSE),"")</f>
      </c>
      <c r="DZ43" s="107">
        <f t="shared" si="135"/>
        <v>0</v>
      </c>
      <c r="EA43" s="108">
        <f ca="1">IF(OR(DQ43&lt;&gt;"",DS43&lt;&gt;""),RANK(DZ43,DZ$11:INDIRECT(DZ$7,FALSE)),"")</f>
      </c>
      <c r="EB43" s="109"/>
      <c r="EC43" s="4"/>
      <c r="ED43" s="103">
        <f aca="true" t="shared" si="177" ref="ED43:ED58">IF(EC43,EC43,"")</f>
      </c>
      <c r="EE43" s="20"/>
      <c r="EF43" s="104">
        <f t="shared" si="136"/>
      </c>
      <c r="EG43" s="104">
        <f t="shared" si="137"/>
        <v>0</v>
      </c>
      <c r="EH43" s="105">
        <f ca="1">IF(OR(EC43&lt;&gt;"",EE43&lt;&gt;""),RANK(EG43,EG$11:INDIRECT(EG$7,FALSE)),"")</f>
      </c>
      <c r="EI43" s="106"/>
      <c r="EJ43" s="107">
        <f aca="true" t="shared" si="178" ref="EJ43:EJ61">IF(OR(EC43&lt;&gt;"",EE43&lt;&gt;""),AD43+AO43+BA43+BM43+BY43+CK43+CW43+DI43+DU43+EG43-IF($F$8&lt;11,EY43,0),"")</f>
      </c>
      <c r="EK43" s="110">
        <f>IF(AND($F$8&lt;11,EJ43&lt;&gt;""),HLOOKUP(MATCH(EY43,EZ43:FI43,0),Discards,1,FALSE),"")</f>
      </c>
      <c r="EL43" s="107">
        <f t="shared" si="138"/>
        <v>0</v>
      </c>
      <c r="EM43" s="108">
        <f ca="1">IF(OR(EC43&lt;&gt;"",EE43&lt;&gt;""),RANK(EL43,EL$11:INDIRECT(EL$7,FALSE)),"")</f>
      </c>
      <c r="EN43" s="111"/>
      <c r="EP43" s="112">
        <f t="shared" si="139"/>
        <v>0</v>
      </c>
      <c r="EQ43" s="28">
        <f>MIN($EZ43:FA43)</f>
        <v>0</v>
      </c>
      <c r="ER43" s="28">
        <f>MIN($EZ43:FB43)</f>
        <v>0</v>
      </c>
      <c r="ES43" s="28">
        <f>MIN($EZ43:FC43)</f>
        <v>0</v>
      </c>
      <c r="ET43" s="28">
        <f>MIN($EZ43:FD43)</f>
        <v>0</v>
      </c>
      <c r="EU43" s="28">
        <f>MIN($EZ43:FE43)</f>
        <v>0</v>
      </c>
      <c r="EV43" s="28">
        <f>MIN($EZ43:FF43)</f>
        <v>0</v>
      </c>
      <c r="EW43" s="28">
        <f>MIN($EZ43:FG43)</f>
        <v>0</v>
      </c>
      <c r="EX43" s="28">
        <f>MIN($EZ43:FH43)</f>
        <v>0</v>
      </c>
      <c r="EY43" s="28">
        <f>MIN($EZ43:FI43)</f>
        <v>0</v>
      </c>
      <c r="EZ43" s="28">
        <f aca="true" t="shared" si="179" ref="EZ43:EZ62">AC43</f>
      </c>
      <c r="FA43" s="28">
        <f aca="true" t="shared" si="180" ref="FA43:FA62">AN43</f>
      </c>
      <c r="FB43" s="28">
        <f aca="true" t="shared" si="181" ref="FB43:FB62">AZ43</f>
      </c>
      <c r="FC43" s="28">
        <f aca="true" t="shared" si="182" ref="FC43:FC62">BL43</f>
      </c>
      <c r="FD43" s="28">
        <f aca="true" t="shared" si="183" ref="FD43:FD62">BX43</f>
      </c>
      <c r="FE43" s="28">
        <f aca="true" t="shared" si="184" ref="FE43:FE62">CJ43</f>
      </c>
      <c r="FF43" s="28">
        <f aca="true" t="shared" si="185" ref="FF43:FF62">CV43</f>
      </c>
      <c r="FG43" s="28">
        <f aca="true" t="shared" si="186" ref="FG43:FG62">DH43</f>
      </c>
      <c r="FH43" s="28">
        <f aca="true" t="shared" si="187" ref="FH43:FH62">DT43</f>
      </c>
      <c r="FI43" s="28">
        <f aca="true" t="shared" si="188" ref="FI43:FI62">EF43</f>
      </c>
      <c r="FL43" s="26">
        <f t="shared" si="140"/>
        <v>255000000</v>
      </c>
      <c r="FM43" s="26">
        <f t="shared" si="141"/>
        <v>255000</v>
      </c>
      <c r="FN43" s="26">
        <f t="shared" si="142"/>
        <v>255</v>
      </c>
      <c r="FO43" s="26">
        <f>IF(C43&lt;&gt;"",SUM(FL43:FN43),0)</f>
        <v>0</v>
      </c>
      <c r="FP43" s="26">
        <f ca="1">IF(FO43&gt;0,SMALL($FO$11:INDIRECT($FO$7,FALSE),A43),0)</f>
        <v>0</v>
      </c>
      <c r="FQ43" s="26">
        <f t="shared" si="143"/>
        <v>0</v>
      </c>
      <c r="FR43" s="26">
        <f t="shared" si="144"/>
        <v>0</v>
      </c>
      <c r="FS43" s="26">
        <f t="shared" si="145"/>
        <v>0</v>
      </c>
      <c r="FT43" s="26">
        <f t="shared" si="146"/>
      </c>
      <c r="FU43" s="26">
        <f t="shared" si="147"/>
        <v>24</v>
      </c>
      <c r="FV43" s="28">
        <f aca="true" t="shared" si="189" ref="FV43:FV62">IF(AND(C43&lt;&gt;"",$AA$5,FU43&lt;&gt;"",FP43&lt;&gt;255255255),VLOOKUP(MATCH(FT43,$H$11:$H$62,0),Competitors,12,FALSE),"")</f>
      </c>
      <c r="FW43" s="26">
        <f t="shared" si="159"/>
      </c>
      <c r="FX43" s="28">
        <f t="shared" si="148"/>
      </c>
      <c r="FY43" s="26">
        <f ca="1">IF(FX43&lt;&gt;"",RANK(FX43,FX$11:INDIRECT(FX$7,FALSE)),"")</f>
      </c>
      <c r="FZ43" s="26">
        <f t="shared" si="149"/>
      </c>
      <c r="GA43" s="26">
        <f t="shared" si="81"/>
      </c>
      <c r="GC43" s="27">
        <f aca="true" t="shared" si="190" ref="GC43:GC62">IF(AND(L43&lt;&gt;"",H43&lt;&gt;""),(L43+1000)*10000000000+FO43,"")</f>
      </c>
      <c r="GD43" s="27">
        <f aca="true" t="shared" si="191" ref="GD43:GD62">IF(AND(A43&lt;=$GC$8,GC43&lt;&gt;""),LARGE($GC$11:$GC$62,A43),"")</f>
      </c>
      <c r="GE43" s="27">
        <f t="shared" si="82"/>
      </c>
      <c r="GF43" s="27">
        <f t="shared" si="150"/>
      </c>
      <c r="GG43" s="27">
        <f t="shared" si="151"/>
        <v>0</v>
      </c>
      <c r="GH43" s="26">
        <f t="shared" si="152"/>
        <v>0</v>
      </c>
      <c r="GI43" s="26">
        <f t="shared" si="153"/>
        <v>0</v>
      </c>
      <c r="GJ43" s="26">
        <f t="shared" si="154"/>
        <v>0</v>
      </c>
      <c r="GK43" s="26">
        <f t="shared" si="155"/>
      </c>
      <c r="GL43" s="28">
        <f t="shared" si="156"/>
      </c>
      <c r="GM43" s="26">
        <f t="shared" si="157"/>
      </c>
    </row>
    <row r="44" spans="1:195" ht="12.75">
      <c r="A44" s="132">
        <f t="shared" si="158"/>
        <v>34</v>
      </c>
      <c r="B44" s="133"/>
      <c r="C44" s="134"/>
      <c r="D44" s="135"/>
      <c r="E44" s="134"/>
      <c r="F44" s="134"/>
      <c r="G44" s="149"/>
      <c r="H44" s="136">
        <f aca="true" t="shared" si="192" ref="H44:H59">IF(G44&lt;&gt;"",LEFT(UPPER(G44),1)&amp;IF(LEN(G44)&gt;1,MID(UPPER(G44),2,1)," ")&amp;IF(LEN(G44)&gt;2,MID(UPPER(G44),3,1)," "),"")</f>
      </c>
      <c r="I44" s="137">
        <f aca="true" t="shared" si="193" ref="I44:I59">IF(Z44&lt;&gt;"",J44,"")</f>
      </c>
      <c r="J44" s="137">
        <f>AD44+AO44+BA44+BM44+BY44+CK44+CW44+DI44+DU44+EG44-(MIN(EZ44:FI44)*$EY$2)</f>
        <v>0</v>
      </c>
      <c r="K44" s="140">
        <f ca="1">IF(I44&lt;&gt;"",RANK(I44,J$11:INDIRECT(J$7,FALSE)),"")</f>
      </c>
      <c r="L44" s="137">
        <f aca="true" t="shared" si="194" ref="L44:L59">IF(AND(H44&lt;&gt;"",OR(M44&lt;&gt;0,Z44&lt;&gt;"")),M44,"")</f>
      </c>
      <c r="M44" s="137">
        <f aca="true" t="shared" si="195" ref="M44:M59">IF(G44&lt;&gt;"",SUMIF($H$11:$H$62,H44,$J$11:$J$62),0)</f>
        <v>0</v>
      </c>
      <c r="N44" s="138">
        <f t="shared" si="160"/>
      </c>
      <c r="O44" s="159"/>
      <c r="P44" s="160">
        <f t="shared" si="38"/>
      </c>
      <c r="Q44" s="161"/>
      <c r="R44" s="162">
        <f t="shared" si="39"/>
      </c>
      <c r="S44" s="162">
        <f t="shared" si="40"/>
        <v>0</v>
      </c>
      <c r="T44" s="163">
        <f ca="1">IF(OR(O44&lt;&gt;"",Q44&lt;&gt;""),RANK(S44,S$11:INDIRECT(S$7,FALSE)),"")</f>
      </c>
      <c r="U44" s="164"/>
      <c r="V44" s="165"/>
      <c r="W44" s="165"/>
      <c r="X44" s="166"/>
      <c r="Y44" s="167"/>
      <c r="Z44" s="228"/>
      <c r="AA44" s="113">
        <f aca="true" t="shared" si="196" ref="AA44:AA59">IF(Z44,Z44,"")</f>
      </c>
      <c r="AB44" s="21"/>
      <c r="AC44" s="114">
        <f aca="true" t="shared" si="197" ref="AC44:AC59">IF(Z44&gt;0,ROUND((1000*AB$5)/Z44,1),IF(Z44="","",0))</f>
      </c>
      <c r="AD44" s="114">
        <f aca="true" t="shared" si="198" ref="AD44:AD59">IF(AC44&lt;&gt;"",AC44-AB44,-AB44)</f>
        <v>0</v>
      </c>
      <c r="AE44" s="115">
        <f ca="1">IF(OR(Z44&lt;&gt;"",AB44&lt;&gt;""),RANK(AD44,AD$11:INDIRECT(AD$7,FALSE)),"")</f>
      </c>
      <c r="AF44" s="116"/>
      <c r="AG44" s="117">
        <f aca="true" t="shared" si="199" ref="AG44:AG59">IF(OR(Z44&lt;&gt;"",AB44&lt;&gt;""),AD44,"")</f>
      </c>
      <c r="AH44" s="117">
        <f aca="true" t="shared" si="200" ref="AH44:AH59">IF(AD44,AD44,0)</f>
        <v>0</v>
      </c>
      <c r="AI44" s="118">
        <f ca="1">IF(OR(Z44&lt;&gt;"",AB44&lt;&gt;""),RANK(AH44,AH$11:INDIRECT(AH$7,FALSE)),"")</f>
      </c>
      <c r="AJ44" s="119"/>
      <c r="AK44" s="5"/>
      <c r="AL44" s="113">
        <f aca="true" t="shared" si="201" ref="AL44:AL59">IF(AK44,AK44,"")</f>
      </c>
      <c r="AM44" s="21"/>
      <c r="AN44" s="114">
        <f aca="true" t="shared" si="202" ref="AN44:AN59">IF(AK44&gt;0,ROUND((1000*AM$5)/AK44,1),IF(AK44="","",0))</f>
      </c>
      <c r="AO44" s="114">
        <f aca="true" t="shared" si="203" ref="AO44:AO59">IF(AN44&lt;&gt;"",AN44-AM44,-AM44)</f>
        <v>0</v>
      </c>
      <c r="AP44" s="115">
        <f ca="1">IF(OR(AK44&lt;&gt;"",AM44&lt;&gt;""),RANK(AO44,AO$11:INDIRECT(AO$7,FALSE)),"")</f>
      </c>
      <c r="AQ44" s="116"/>
      <c r="AR44" s="117">
        <f t="shared" si="161"/>
      </c>
      <c r="AS44" s="120">
        <f>IF(AND($F$8&lt;3,AR44&lt;&gt;""),HLOOKUP(MATCH(EQ44,EZ44:FA44,0),Discards,1,FALSE),"")</f>
      </c>
      <c r="AT44" s="117">
        <f t="shared" si="162"/>
        <v>0</v>
      </c>
      <c r="AU44" s="118">
        <f ca="1">IF(OR(AK44&lt;&gt;"",AM44&lt;&gt;""),RANK(AT44,AT$11:INDIRECT(AT$7,FALSE)),"")</f>
      </c>
      <c r="AV44" s="119"/>
      <c r="AW44" s="5"/>
      <c r="AX44" s="113">
        <f t="shared" si="163"/>
      </c>
      <c r="AY44" s="21"/>
      <c r="AZ44" s="114">
        <f aca="true" t="shared" si="204" ref="AZ44:AZ59">IF(AW44&gt;0,ROUND((1000*AY$5)/AW44,1),IF(AW44="","",0))</f>
      </c>
      <c r="BA44" s="114">
        <f aca="true" t="shared" si="205" ref="BA44:BA59">IF(AZ44&lt;&gt;"",AZ44-AY44,-AY44)</f>
        <v>0</v>
      </c>
      <c r="BB44" s="115">
        <f ca="1">IF(OR(AW44&lt;&gt;"",AY44&lt;&gt;""),RANK(BA44,BA$11:INDIRECT(BA$7,FALSE)),"")</f>
      </c>
      <c r="BC44" s="116"/>
      <c r="BD44" s="117">
        <f t="shared" si="164"/>
      </c>
      <c r="BE44" s="120">
        <f>IF(AND($F$8&lt;4,BD44&lt;&gt;""),HLOOKUP(MATCH(ER44,EZ44:FB44,0),Discards,1,FALSE),"")</f>
      </c>
      <c r="BF44" s="117">
        <f aca="true" t="shared" si="206" ref="BF44:BF59">IF(OR(AW44&lt;&gt;"",AY44&lt;&gt;""),BD44,0)</f>
        <v>0</v>
      </c>
      <c r="BG44" s="118">
        <f ca="1">IF(OR(AW44&lt;&gt;"",AY44&lt;&gt;""),RANK(BF44,BF$11:INDIRECT(BF$7,FALSE)),"")</f>
      </c>
      <c r="BH44" s="119"/>
      <c r="BI44" s="5"/>
      <c r="BJ44" s="113">
        <f t="shared" si="165"/>
      </c>
      <c r="BK44" s="21"/>
      <c r="BL44" s="114">
        <f aca="true" t="shared" si="207" ref="BL44:BL59">IF(BI44&gt;0,ROUND((1000*BK$5)/BI44,1),IF(BI44="","",0))</f>
      </c>
      <c r="BM44" s="114">
        <f aca="true" t="shared" si="208" ref="BM44:BM59">IF(BL44&lt;&gt;"",BL44-BK44,-BK44)</f>
        <v>0</v>
      </c>
      <c r="BN44" s="115">
        <f ca="1">IF(OR(BI44&lt;&gt;"",BK44&lt;&gt;""),RANK(BM44,BM$11:INDIRECT(BM$7,FALSE)),"")</f>
      </c>
      <c r="BO44" s="116"/>
      <c r="BP44" s="117">
        <f t="shared" si="166"/>
      </c>
      <c r="BQ44" s="120">
        <f>IF(AND($F$8&lt;5,BP44&lt;&gt;""),HLOOKUP(MATCH(ES44,EZ44:FC44,0),Discards,1,FALSE),"")</f>
      </c>
      <c r="BR44" s="117">
        <f aca="true" t="shared" si="209" ref="BR44:BR59">IF(OR(BI44&lt;&gt;"",BK44&lt;&gt;""),BP44,0)</f>
        <v>0</v>
      </c>
      <c r="BS44" s="118">
        <f ca="1">IF(OR(BI44&lt;&gt;"",BK44&lt;&gt;""),RANK(BR44,BR$11:INDIRECT(BR$7,FALSE)),"")</f>
      </c>
      <c r="BT44" s="119"/>
      <c r="BU44" s="5"/>
      <c r="BV44" s="113">
        <f t="shared" si="167"/>
      </c>
      <c r="BW44" s="21"/>
      <c r="BX44" s="114">
        <f aca="true" t="shared" si="210" ref="BX44:BX59">IF(BU44&gt;0,ROUND((1000*BW$5)/BU44,1),IF(BU44="","",0))</f>
      </c>
      <c r="BY44" s="114">
        <f aca="true" t="shared" si="211" ref="BY44:BY59">IF(BX44&lt;&gt;"",BX44-BW44,-BW44)</f>
        <v>0</v>
      </c>
      <c r="BZ44" s="115">
        <f ca="1">IF(OR(BU44&lt;&gt;"",BW44&lt;&gt;""),RANK(BY44,BY$11:INDIRECT(BY$7,FALSE)),"")</f>
      </c>
      <c r="CA44" s="116"/>
      <c r="CB44" s="117">
        <f t="shared" si="168"/>
      </c>
      <c r="CC44" s="120">
        <f>IF(AND($F$8&lt;6,CB44&lt;&gt;""),HLOOKUP(MATCH(ET44,EZ44:FD44,0),Discards,1,FALSE),"")</f>
      </c>
      <c r="CD44" s="117">
        <f aca="true" t="shared" si="212" ref="CD44:CD59">IF(OR(BU44&lt;&gt;"",BW44&lt;&gt;""),CB44,0)</f>
        <v>0</v>
      </c>
      <c r="CE44" s="118">
        <f ca="1">IF(OR(BU44&lt;&gt;"",BW44&lt;&gt;""),RANK(CD44,CD$11:INDIRECT(CD$7,FALSE)),"")</f>
      </c>
      <c r="CF44" s="119"/>
      <c r="CG44" s="5"/>
      <c r="CH44" s="113">
        <f t="shared" si="169"/>
      </c>
      <c r="CI44" s="21"/>
      <c r="CJ44" s="114">
        <f aca="true" t="shared" si="213" ref="CJ44:CJ59">IF(CG44&gt;0,ROUND((1000*CI$5)/CG44,1),IF(CG44="","",0))</f>
      </c>
      <c r="CK44" s="114">
        <f aca="true" t="shared" si="214" ref="CK44:CK59">IF(CJ44&lt;&gt;"",CJ44-CI44,-CI44)</f>
        <v>0</v>
      </c>
      <c r="CL44" s="115">
        <f ca="1">IF(OR(CG44&lt;&gt;"",CI44&lt;&gt;""),RANK(CK44,CK$11:INDIRECT(CK$7,FALSE)),"")</f>
      </c>
      <c r="CM44" s="116"/>
      <c r="CN44" s="117">
        <f t="shared" si="170"/>
      </c>
      <c r="CO44" s="120">
        <f>IF(AND($F$8&lt;7,CN44&lt;&gt;""),HLOOKUP(MATCH(EU44,EZ44:FE44,0),Discards,1,FALSE),"")</f>
      </c>
      <c r="CP44" s="117">
        <f aca="true" t="shared" si="215" ref="CP44:CP59">IF(OR(CG44&lt;&gt;"",CI44&lt;&gt;""),CN44,0)</f>
        <v>0</v>
      </c>
      <c r="CQ44" s="118">
        <f ca="1">IF(OR(CG44&lt;&gt;"",CI44&lt;&gt;""),RANK(CP44,CP$11:INDIRECT(CP$7,FALSE)),"")</f>
      </c>
      <c r="CR44" s="119"/>
      <c r="CS44" s="5"/>
      <c r="CT44" s="113">
        <f t="shared" si="171"/>
      </c>
      <c r="CU44" s="21"/>
      <c r="CV44" s="114">
        <f aca="true" t="shared" si="216" ref="CV44:CV59">IF(CS44&gt;0,ROUND((1000*CU$5)/CS44,1),IF(CS44="","",0))</f>
      </c>
      <c r="CW44" s="114">
        <f aca="true" t="shared" si="217" ref="CW44:CW59">IF(CV44&lt;&gt;"",CV44-CU44,-CU44)</f>
        <v>0</v>
      </c>
      <c r="CX44" s="115">
        <f ca="1">IF(OR(CS44&lt;&gt;"",CU44&lt;&gt;""),RANK(CW44,CW$11:INDIRECT(CW$7,FALSE)),"")</f>
      </c>
      <c r="CY44" s="116"/>
      <c r="CZ44" s="117">
        <f t="shared" si="172"/>
      </c>
      <c r="DA44" s="120">
        <f>IF(AND($F$8&lt;8,CZ44&lt;&gt;""),HLOOKUP(MATCH(EV44,EZ44:FF44,0),Discards,1,FALSE),"")</f>
      </c>
      <c r="DB44" s="117">
        <f aca="true" t="shared" si="218" ref="DB44:DB59">IF(OR(CS44&lt;&gt;"",CU44&lt;&gt;""),CZ44,0)</f>
        <v>0</v>
      </c>
      <c r="DC44" s="118">
        <f ca="1">IF(OR(CS44&lt;&gt;"",CU44&lt;&gt;""),RANK(DB44,DB$11:INDIRECT(DB$7,FALSE)),"")</f>
      </c>
      <c r="DD44" s="119"/>
      <c r="DE44" s="5"/>
      <c r="DF44" s="113">
        <f t="shared" si="173"/>
      </c>
      <c r="DG44" s="21"/>
      <c r="DH44" s="114">
        <f aca="true" t="shared" si="219" ref="DH44:DH59">IF(DE44&gt;0,ROUND((1000*DG$5)/DE44,1),IF(DE44="","",0))</f>
      </c>
      <c r="DI44" s="114">
        <f aca="true" t="shared" si="220" ref="DI44:DI59">IF(DH44&lt;&gt;"",DH44-DG44,-DG44)</f>
        <v>0</v>
      </c>
      <c r="DJ44" s="115">
        <f ca="1">IF(OR(DE44&lt;&gt;"",DG44&lt;&gt;""),RANK(DI44,DI$11:INDIRECT(DI$7,FALSE)),"")</f>
      </c>
      <c r="DK44" s="116"/>
      <c r="DL44" s="117">
        <f t="shared" si="174"/>
      </c>
      <c r="DM44" s="120">
        <f>IF(AND($F$8&lt;9,DL44&lt;&gt;""),HLOOKUP(MATCH(EW44,EZ44:FG44,0),Discards,1,FALSE),"")</f>
      </c>
      <c r="DN44" s="117">
        <f aca="true" t="shared" si="221" ref="DN44:DN59">IF(OR(DE44&lt;&gt;"",DG44&lt;&gt;""),DL44,0)</f>
        <v>0</v>
      </c>
      <c r="DO44" s="118">
        <f ca="1">IF(OR(DE44&lt;&gt;"",DG44&lt;&gt;""),RANK(DN44,DN$11:INDIRECT(DN$7,FALSE)),"")</f>
      </c>
      <c r="DP44" s="119"/>
      <c r="DQ44" s="5"/>
      <c r="DR44" s="113">
        <f t="shared" si="175"/>
      </c>
      <c r="DS44" s="21"/>
      <c r="DT44" s="114">
        <f aca="true" t="shared" si="222" ref="DT44:DT59">IF(DQ44&gt;0,ROUND((1000*DS$5)/DQ44,1),IF(DQ44="","",0))</f>
      </c>
      <c r="DU44" s="114">
        <f aca="true" t="shared" si="223" ref="DU44:DU59">IF(DT44&lt;&gt;"",DT44-DS44,-DS44)</f>
        <v>0</v>
      </c>
      <c r="DV44" s="115">
        <f ca="1">IF(OR(DQ44&lt;&gt;"",DS44&lt;&gt;""),RANK(DU44,DU$11:INDIRECT(DU$7,FALSE)),"")</f>
      </c>
      <c r="DW44" s="116"/>
      <c r="DX44" s="117">
        <f t="shared" si="176"/>
      </c>
      <c r="DY44" s="120">
        <f>IF(AND($F$8&lt;10,DX44&lt;&gt;""),HLOOKUP(MATCH(EX44,EZ44:FH44,0),Discards,1,FALSE),"")</f>
      </c>
      <c r="DZ44" s="117">
        <f aca="true" t="shared" si="224" ref="DZ44:DZ59">IF(OR(DQ44&lt;&gt;"",DS44&lt;&gt;""),DX44,0)</f>
        <v>0</v>
      </c>
      <c r="EA44" s="118">
        <f ca="1">IF(OR(DQ44&lt;&gt;"",DS44&lt;&gt;""),RANK(DZ44,DZ$11:INDIRECT(DZ$7,FALSE)),"")</f>
      </c>
      <c r="EB44" s="119"/>
      <c r="EC44" s="5"/>
      <c r="ED44" s="113">
        <f t="shared" si="177"/>
      </c>
      <c r="EE44" s="21"/>
      <c r="EF44" s="114">
        <f aca="true" t="shared" si="225" ref="EF44:EF59">IF(EC44&gt;0,ROUND((1000*EE$5)/EC44,1),IF(EC44="","",0))</f>
      </c>
      <c r="EG44" s="114">
        <f aca="true" t="shared" si="226" ref="EG44:EG59">IF(EF44&lt;&gt;"",EF44-EE44,-EE44)</f>
        <v>0</v>
      </c>
      <c r="EH44" s="115">
        <f ca="1">IF(OR(EC44&lt;&gt;"",EE44&lt;&gt;""),RANK(EG44,EG$11:INDIRECT(EG$7,FALSE)),"")</f>
      </c>
      <c r="EI44" s="116"/>
      <c r="EJ44" s="117">
        <f t="shared" si="178"/>
      </c>
      <c r="EK44" s="120">
        <f>IF(AND($F$8&lt;11,EJ44&lt;&gt;""),HLOOKUP(MATCH(EY44,EZ44:FI44,0),Discards,1,FALSE),"")</f>
      </c>
      <c r="EL44" s="117">
        <f aca="true" t="shared" si="227" ref="EL44:EL59">IF(OR(EC44&lt;&gt;"",EE44&lt;&gt;""),EJ44,0)</f>
        <v>0</v>
      </c>
      <c r="EM44" s="118">
        <f ca="1">IF(OR(EC44&lt;&gt;"",EE44&lt;&gt;""),RANK(EL44,EL$11:INDIRECT(EL$7,FALSE)),"")</f>
      </c>
      <c r="EN44" s="121"/>
      <c r="EP44" s="112">
        <f aca="true" t="shared" si="228" ref="EP44:EP59">IF(C44&lt;&gt;"",1,0)</f>
        <v>0</v>
      </c>
      <c r="EQ44" s="28">
        <f>MIN($EZ44:FA44)</f>
        <v>0</v>
      </c>
      <c r="ER44" s="28">
        <f>MIN($EZ44:FB44)</f>
        <v>0</v>
      </c>
      <c r="ES44" s="28">
        <f>MIN($EZ44:FC44)</f>
        <v>0</v>
      </c>
      <c r="ET44" s="28">
        <f>MIN($EZ44:FD44)</f>
        <v>0</v>
      </c>
      <c r="EU44" s="28">
        <f>MIN($EZ44:FE44)</f>
        <v>0</v>
      </c>
      <c r="EV44" s="28">
        <f>MIN($EZ44:FF44)</f>
        <v>0</v>
      </c>
      <c r="EW44" s="28">
        <f>MIN($EZ44:FG44)</f>
        <v>0</v>
      </c>
      <c r="EX44" s="28">
        <f>MIN($EZ44:FH44)</f>
        <v>0</v>
      </c>
      <c r="EY44" s="28">
        <f>MIN($EZ44:FI44)</f>
        <v>0</v>
      </c>
      <c r="EZ44" s="28">
        <f t="shared" si="179"/>
      </c>
      <c r="FA44" s="28">
        <f t="shared" si="180"/>
      </c>
      <c r="FB44" s="28">
        <f t="shared" si="181"/>
      </c>
      <c r="FC44" s="28">
        <f t="shared" si="182"/>
      </c>
      <c r="FD44" s="28">
        <f t="shared" si="183"/>
      </c>
      <c r="FE44" s="28">
        <f t="shared" si="184"/>
      </c>
      <c r="FF44" s="28">
        <f t="shared" si="185"/>
      </c>
      <c r="FG44" s="28">
        <f t="shared" si="186"/>
      </c>
      <c r="FH44" s="28">
        <f t="shared" si="187"/>
      </c>
      <c r="FI44" s="28">
        <f t="shared" si="188"/>
      </c>
      <c r="FL44" s="26">
        <f aca="true" t="shared" si="229" ref="FL44:FL59">IF(H44&lt;&gt;"",(CODE(MID(H44,1,1))*1000)*1000,255000000)</f>
        <v>255000000</v>
      </c>
      <c r="FM44" s="26">
        <f aca="true" t="shared" si="230" ref="FM44:FM59">IF(H44&lt;&gt;"",CODE(MID(H44,2,1))*1000,255000)</f>
        <v>255000</v>
      </c>
      <c r="FN44" s="26">
        <f aca="true" t="shared" si="231" ref="FN44:FN59">IF(H44&lt;&gt;"",CODE(MID(H44,3,1)),255)</f>
        <v>255</v>
      </c>
      <c r="FO44" s="26">
        <f>IF(C44&lt;&gt;"",SUM(FL44:FN44),0)</f>
        <v>0</v>
      </c>
      <c r="FP44" s="26">
        <f ca="1">IF(FO44&gt;0,SMALL($FO$11:INDIRECT($FO$7,FALSE),A44),0)</f>
        <v>0</v>
      </c>
      <c r="FQ44" s="26">
        <f aca="true" t="shared" si="232" ref="FQ44:FQ59">INT(FP44/1000000)</f>
        <v>0</v>
      </c>
      <c r="FR44" s="26">
        <f aca="true" t="shared" si="233" ref="FR44:FR59">INT(FP44/1000)-FQ44*1000</f>
        <v>0</v>
      </c>
      <c r="FS44" s="26">
        <f aca="true" t="shared" si="234" ref="FS44:FS59">FP44-FQ44*1000000-FR44*1000</f>
        <v>0</v>
      </c>
      <c r="FT44" s="26">
        <f aca="true" t="shared" si="235" ref="FT44:FT59">IF(FP44=255255255,"",IF(FP44&gt;0,CHAR(FQ44)&amp;CHAR(FR44)&amp;CHAR(FS44),""))</f>
      </c>
      <c r="FU44" s="26">
        <f aca="true" t="shared" si="236" ref="FU44:FU59">COUNTIF($FT$11:$FT$34,FT44)</f>
        <v>24</v>
      </c>
      <c r="FV44" s="28">
        <f t="shared" si="189"/>
      </c>
      <c r="FW44" s="26">
        <f t="shared" si="159"/>
      </c>
      <c r="FX44" s="28">
        <f aca="true" t="shared" si="237" ref="FX44:FX59">IF(FW44&lt;&gt;"",FV44,"")</f>
      </c>
      <c r="FY44" s="26">
        <f ca="1">IF(FX44&lt;&gt;"",RANK(FX44,FX$11:INDIRECT(FX$7,FALSE)),"")</f>
      </c>
      <c r="FZ44" s="26">
        <f aca="true" t="shared" si="238" ref="FZ44:FZ59">IF(H44&lt;&gt;"",MATCH(H44,$FW$11:$FW$62,0),"")</f>
      </c>
      <c r="GA44" s="26">
        <f t="shared" si="81"/>
      </c>
      <c r="GC44" s="27">
        <f t="shared" si="190"/>
      </c>
      <c r="GD44" s="27">
        <f t="shared" si="191"/>
      </c>
      <c r="GE44" s="27">
        <f aca="true" t="shared" si="239" ref="GE44:GE62">IF(AND(GD44&lt;&gt;"",RIGHT(GD44,9)&lt;&gt;RIGHT(GD43,9)),GD44,"")</f>
      </c>
      <c r="GF44" s="27">
        <f aca="true" t="shared" si="240" ref="GF44:GF59">IF(A44&lt;=$GF$8,LARGE($GE$11:$GE$62,A44),"")</f>
      </c>
      <c r="GG44" s="27">
        <f aca="true" t="shared" si="241" ref="GG44:GG59">IF(GF44&lt;&gt;"",VALUE(RIGHT(GF44,9)),0)</f>
        <v>0</v>
      </c>
      <c r="GH44" s="26">
        <f aca="true" t="shared" si="242" ref="GH44:GH59">INT(GG44/1000000)</f>
        <v>0</v>
      </c>
      <c r="GI44" s="26">
        <f aca="true" t="shared" si="243" ref="GI44:GI59">INT(GG44/1000)-GH44*1000</f>
        <v>0</v>
      </c>
      <c r="GJ44" s="26">
        <f aca="true" t="shared" si="244" ref="GJ44:GJ59">GG44-GH44*1000000-GI44*1000</f>
        <v>0</v>
      </c>
      <c r="GK44" s="26">
        <f aca="true" t="shared" si="245" ref="GK44:GK59">IF(GG44=255255255,"",IF(GG44&gt;0,CHAR(GH44)&amp;CHAR(GI44)&amp;CHAR(GJ44),""))</f>
      </c>
      <c r="GL44" s="28">
        <f aca="true" t="shared" si="246" ref="GL44:GL59">IF(GK44&lt;&gt;"",(GF44-GG44)/10000000000-1000,"")</f>
      </c>
      <c r="GM44" s="26">
        <f aca="true" t="shared" si="247" ref="GM44:GM59">IF(GL44&lt;&gt;"",RANK(GL44,$GL$11:$GL$62),"")</f>
      </c>
    </row>
    <row r="45" spans="1:195" ht="12.75">
      <c r="A45" s="132">
        <f aca="true" t="shared" si="248" ref="A45:A60">A44+1</f>
        <v>35</v>
      </c>
      <c r="B45" s="133"/>
      <c r="C45" s="134"/>
      <c r="D45" s="135"/>
      <c r="E45" s="134"/>
      <c r="F45" s="134"/>
      <c r="G45" s="149"/>
      <c r="H45" s="136">
        <f t="shared" si="192"/>
      </c>
      <c r="I45" s="137">
        <f t="shared" si="193"/>
      </c>
      <c r="J45" s="137">
        <f>AD45+AO45+BA45+BM45+BY45+CK45+CW45+DI45+DU45+EG45-(MIN(EZ45:FI45)*$EY$2)</f>
        <v>0</v>
      </c>
      <c r="K45" s="140">
        <f ca="1">IF(I45&lt;&gt;"",RANK(I45,J$11:INDIRECT(J$7,FALSE)),"")</f>
      </c>
      <c r="L45" s="137">
        <f t="shared" si="194"/>
      </c>
      <c r="M45" s="137">
        <f t="shared" si="195"/>
        <v>0</v>
      </c>
      <c r="N45" s="138">
        <f t="shared" si="160"/>
      </c>
      <c r="O45" s="159"/>
      <c r="P45" s="160">
        <f t="shared" si="38"/>
      </c>
      <c r="Q45" s="161"/>
      <c r="R45" s="162">
        <f t="shared" si="39"/>
      </c>
      <c r="S45" s="162">
        <f t="shared" si="40"/>
        <v>0</v>
      </c>
      <c r="T45" s="163">
        <f ca="1">IF(OR(O45&lt;&gt;"",Q45&lt;&gt;""),RANK(S45,S$11:INDIRECT(S$7,FALSE)),"")</f>
      </c>
      <c r="U45" s="164"/>
      <c r="V45" s="165"/>
      <c r="W45" s="165"/>
      <c r="X45" s="166"/>
      <c r="Y45" s="167"/>
      <c r="Z45" s="228"/>
      <c r="AA45" s="113">
        <f t="shared" si="196"/>
      </c>
      <c r="AB45" s="21"/>
      <c r="AC45" s="114">
        <f t="shared" si="197"/>
      </c>
      <c r="AD45" s="114">
        <f t="shared" si="198"/>
        <v>0</v>
      </c>
      <c r="AE45" s="115">
        <f ca="1">IF(OR(Z45&lt;&gt;"",AB45&lt;&gt;""),RANK(AD45,AD$11:INDIRECT(AD$7,FALSE)),"")</f>
      </c>
      <c r="AF45" s="116"/>
      <c r="AG45" s="117">
        <f t="shared" si="199"/>
      </c>
      <c r="AH45" s="117">
        <f t="shared" si="200"/>
        <v>0</v>
      </c>
      <c r="AI45" s="118">
        <f ca="1">IF(OR(Z45&lt;&gt;"",AB45&lt;&gt;""),RANK(AH45,AH$11:INDIRECT(AH$7,FALSE)),"")</f>
      </c>
      <c r="AJ45" s="119"/>
      <c r="AK45" s="5"/>
      <c r="AL45" s="113">
        <f t="shared" si="201"/>
      </c>
      <c r="AM45" s="21"/>
      <c r="AN45" s="114">
        <f t="shared" si="202"/>
      </c>
      <c r="AO45" s="114">
        <f t="shared" si="203"/>
        <v>0</v>
      </c>
      <c r="AP45" s="115">
        <f ca="1">IF(OR(AK45&lt;&gt;"",AM45&lt;&gt;""),RANK(AO45,AO$11:INDIRECT(AO$7,FALSE)),"")</f>
      </c>
      <c r="AQ45" s="116"/>
      <c r="AR45" s="117">
        <f t="shared" si="161"/>
      </c>
      <c r="AS45" s="120">
        <f>IF(AND($F$8&lt;3,AR45&lt;&gt;""),HLOOKUP(MATCH(EQ45,EZ45:FA45,0),Discards,1,FALSE),"")</f>
      </c>
      <c r="AT45" s="117">
        <f t="shared" si="162"/>
        <v>0</v>
      </c>
      <c r="AU45" s="118">
        <f ca="1">IF(OR(AK45&lt;&gt;"",AM45&lt;&gt;""),RANK(AT45,AT$11:INDIRECT(AT$7,FALSE)),"")</f>
      </c>
      <c r="AV45" s="119"/>
      <c r="AW45" s="5"/>
      <c r="AX45" s="113">
        <f t="shared" si="163"/>
      </c>
      <c r="AY45" s="21"/>
      <c r="AZ45" s="114">
        <f t="shared" si="204"/>
      </c>
      <c r="BA45" s="114">
        <f t="shared" si="205"/>
        <v>0</v>
      </c>
      <c r="BB45" s="115">
        <f ca="1">IF(OR(AW45&lt;&gt;"",AY45&lt;&gt;""),RANK(BA45,BA$11:INDIRECT(BA$7,FALSE)),"")</f>
      </c>
      <c r="BC45" s="116"/>
      <c r="BD45" s="117">
        <f t="shared" si="164"/>
      </c>
      <c r="BE45" s="120">
        <f>IF(AND($F$8&lt;4,BD45&lt;&gt;""),HLOOKUP(MATCH(ER45,EZ45:FB45,0),Discards,1,FALSE),"")</f>
      </c>
      <c r="BF45" s="117">
        <f t="shared" si="206"/>
        <v>0</v>
      </c>
      <c r="BG45" s="118">
        <f ca="1">IF(OR(AW45&lt;&gt;"",AY45&lt;&gt;""),RANK(BF45,BF$11:INDIRECT(BF$7,FALSE)),"")</f>
      </c>
      <c r="BH45" s="119"/>
      <c r="BI45" s="5"/>
      <c r="BJ45" s="113">
        <f t="shared" si="165"/>
      </c>
      <c r="BK45" s="21"/>
      <c r="BL45" s="114">
        <f t="shared" si="207"/>
      </c>
      <c r="BM45" s="114">
        <f t="shared" si="208"/>
        <v>0</v>
      </c>
      <c r="BN45" s="115">
        <f ca="1">IF(OR(BI45&lt;&gt;"",BK45&lt;&gt;""),RANK(BM45,BM$11:INDIRECT(BM$7,FALSE)),"")</f>
      </c>
      <c r="BO45" s="116"/>
      <c r="BP45" s="117">
        <f t="shared" si="166"/>
      </c>
      <c r="BQ45" s="120">
        <f>IF(AND($F$8&lt;5,BP45&lt;&gt;""),HLOOKUP(MATCH(ES45,EZ45:FC45,0),Discards,1,FALSE),"")</f>
      </c>
      <c r="BR45" s="117">
        <f t="shared" si="209"/>
        <v>0</v>
      </c>
      <c r="BS45" s="118">
        <f ca="1">IF(OR(BI45&lt;&gt;"",BK45&lt;&gt;""),RANK(BR45,BR$11:INDIRECT(BR$7,FALSE)),"")</f>
      </c>
      <c r="BT45" s="119"/>
      <c r="BU45" s="5"/>
      <c r="BV45" s="113">
        <f t="shared" si="167"/>
      </c>
      <c r="BW45" s="21"/>
      <c r="BX45" s="114">
        <f t="shared" si="210"/>
      </c>
      <c r="BY45" s="114">
        <f t="shared" si="211"/>
        <v>0</v>
      </c>
      <c r="BZ45" s="115">
        <f ca="1">IF(OR(BU45&lt;&gt;"",BW45&lt;&gt;""),RANK(BY45,BY$11:INDIRECT(BY$7,FALSE)),"")</f>
      </c>
      <c r="CA45" s="116"/>
      <c r="CB45" s="117">
        <f t="shared" si="168"/>
      </c>
      <c r="CC45" s="120">
        <f>IF(AND($F$8&lt;6,CB45&lt;&gt;""),HLOOKUP(MATCH(ET45,EZ45:FD45,0),Discards,1,FALSE),"")</f>
      </c>
      <c r="CD45" s="117">
        <f t="shared" si="212"/>
        <v>0</v>
      </c>
      <c r="CE45" s="118">
        <f ca="1">IF(OR(BU45&lt;&gt;"",BW45&lt;&gt;""),RANK(CD45,CD$11:INDIRECT(CD$7,FALSE)),"")</f>
      </c>
      <c r="CF45" s="119"/>
      <c r="CG45" s="5"/>
      <c r="CH45" s="113">
        <f t="shared" si="169"/>
      </c>
      <c r="CI45" s="21"/>
      <c r="CJ45" s="114">
        <f t="shared" si="213"/>
      </c>
      <c r="CK45" s="114">
        <f t="shared" si="214"/>
        <v>0</v>
      </c>
      <c r="CL45" s="115">
        <f ca="1">IF(OR(CG45&lt;&gt;"",CI45&lt;&gt;""),RANK(CK45,CK$11:INDIRECT(CK$7,FALSE)),"")</f>
      </c>
      <c r="CM45" s="116"/>
      <c r="CN45" s="117">
        <f t="shared" si="170"/>
      </c>
      <c r="CO45" s="120">
        <f>IF(AND($F$8&lt;7,CN45&lt;&gt;""),HLOOKUP(MATCH(EU45,EZ45:FE45,0),Discards,1,FALSE),"")</f>
      </c>
      <c r="CP45" s="117">
        <f t="shared" si="215"/>
        <v>0</v>
      </c>
      <c r="CQ45" s="118">
        <f ca="1">IF(OR(CG45&lt;&gt;"",CI45&lt;&gt;""),RANK(CP45,CP$11:INDIRECT(CP$7,FALSE)),"")</f>
      </c>
      <c r="CR45" s="119"/>
      <c r="CS45" s="5"/>
      <c r="CT45" s="113">
        <f t="shared" si="171"/>
      </c>
      <c r="CU45" s="21"/>
      <c r="CV45" s="114">
        <f t="shared" si="216"/>
      </c>
      <c r="CW45" s="114">
        <f t="shared" si="217"/>
        <v>0</v>
      </c>
      <c r="CX45" s="115">
        <f ca="1">IF(OR(CS45&lt;&gt;"",CU45&lt;&gt;""),RANK(CW45,CW$11:INDIRECT(CW$7,FALSE)),"")</f>
      </c>
      <c r="CY45" s="116"/>
      <c r="CZ45" s="117">
        <f t="shared" si="172"/>
      </c>
      <c r="DA45" s="120">
        <f>IF(AND($F$8&lt;8,CZ45&lt;&gt;""),HLOOKUP(MATCH(EV45,EZ45:FF45,0),Discards,1,FALSE),"")</f>
      </c>
      <c r="DB45" s="117">
        <f t="shared" si="218"/>
        <v>0</v>
      </c>
      <c r="DC45" s="118">
        <f ca="1">IF(OR(CS45&lt;&gt;"",CU45&lt;&gt;""),RANK(DB45,DB$11:INDIRECT(DB$7,FALSE)),"")</f>
      </c>
      <c r="DD45" s="119"/>
      <c r="DE45" s="5"/>
      <c r="DF45" s="113">
        <f t="shared" si="173"/>
      </c>
      <c r="DG45" s="21"/>
      <c r="DH45" s="114">
        <f t="shared" si="219"/>
      </c>
      <c r="DI45" s="114">
        <f t="shared" si="220"/>
        <v>0</v>
      </c>
      <c r="DJ45" s="115">
        <f ca="1">IF(OR(DE45&lt;&gt;"",DG45&lt;&gt;""),RANK(DI45,DI$11:INDIRECT(DI$7,FALSE)),"")</f>
      </c>
      <c r="DK45" s="116"/>
      <c r="DL45" s="117">
        <f t="shared" si="174"/>
      </c>
      <c r="DM45" s="120">
        <f>IF(AND($F$8&lt;9,DL45&lt;&gt;""),HLOOKUP(MATCH(EW45,EZ45:FG45,0),Discards,1,FALSE),"")</f>
      </c>
      <c r="DN45" s="117">
        <f t="shared" si="221"/>
        <v>0</v>
      </c>
      <c r="DO45" s="118">
        <f ca="1">IF(OR(DE45&lt;&gt;"",DG45&lt;&gt;""),RANK(DN45,DN$11:INDIRECT(DN$7,FALSE)),"")</f>
      </c>
      <c r="DP45" s="119"/>
      <c r="DQ45" s="5"/>
      <c r="DR45" s="113">
        <f t="shared" si="175"/>
      </c>
      <c r="DS45" s="21"/>
      <c r="DT45" s="114">
        <f t="shared" si="222"/>
      </c>
      <c r="DU45" s="114">
        <f t="shared" si="223"/>
        <v>0</v>
      </c>
      <c r="DV45" s="115">
        <f ca="1">IF(OR(DQ45&lt;&gt;"",DS45&lt;&gt;""),RANK(DU45,DU$11:INDIRECT(DU$7,FALSE)),"")</f>
      </c>
      <c r="DW45" s="116"/>
      <c r="DX45" s="117">
        <f t="shared" si="176"/>
      </c>
      <c r="DY45" s="120">
        <f>IF(AND($F$8&lt;10,DX45&lt;&gt;""),HLOOKUP(MATCH(EX45,EZ45:FH45,0),Discards,1,FALSE),"")</f>
      </c>
      <c r="DZ45" s="117">
        <f t="shared" si="224"/>
        <v>0</v>
      </c>
      <c r="EA45" s="118">
        <f ca="1">IF(OR(DQ45&lt;&gt;"",DS45&lt;&gt;""),RANK(DZ45,DZ$11:INDIRECT(DZ$7,FALSE)),"")</f>
      </c>
      <c r="EB45" s="119"/>
      <c r="EC45" s="5"/>
      <c r="ED45" s="113">
        <f t="shared" si="177"/>
      </c>
      <c r="EE45" s="21"/>
      <c r="EF45" s="114">
        <f t="shared" si="225"/>
      </c>
      <c r="EG45" s="114">
        <f t="shared" si="226"/>
        <v>0</v>
      </c>
      <c r="EH45" s="115">
        <f ca="1">IF(OR(EC45&lt;&gt;"",EE45&lt;&gt;""),RANK(EG45,EG$11:INDIRECT(EG$7,FALSE)),"")</f>
      </c>
      <c r="EI45" s="116"/>
      <c r="EJ45" s="117">
        <f t="shared" si="178"/>
      </c>
      <c r="EK45" s="120">
        <f>IF(AND($F$8&lt;11,EJ45&lt;&gt;""),HLOOKUP(MATCH(EY45,EZ45:FI45,0),Discards,1,FALSE),"")</f>
      </c>
      <c r="EL45" s="117">
        <f t="shared" si="227"/>
        <v>0</v>
      </c>
      <c r="EM45" s="118">
        <f ca="1">IF(OR(EC45&lt;&gt;"",EE45&lt;&gt;""),RANK(EL45,EL$11:INDIRECT(EL$7,FALSE)),"")</f>
      </c>
      <c r="EN45" s="121"/>
      <c r="EP45" s="112">
        <f t="shared" si="228"/>
        <v>0</v>
      </c>
      <c r="EQ45" s="28">
        <f>MIN($EZ45:FA45)</f>
        <v>0</v>
      </c>
      <c r="ER45" s="28">
        <f>MIN($EZ45:FB45)</f>
        <v>0</v>
      </c>
      <c r="ES45" s="28">
        <f>MIN($EZ45:FC45)</f>
        <v>0</v>
      </c>
      <c r="ET45" s="28">
        <f>MIN($EZ45:FD45)</f>
        <v>0</v>
      </c>
      <c r="EU45" s="28">
        <f>MIN($EZ45:FE45)</f>
        <v>0</v>
      </c>
      <c r="EV45" s="28">
        <f>MIN($EZ45:FF45)</f>
        <v>0</v>
      </c>
      <c r="EW45" s="28">
        <f>MIN($EZ45:FG45)</f>
        <v>0</v>
      </c>
      <c r="EX45" s="28">
        <f>MIN($EZ45:FH45)</f>
        <v>0</v>
      </c>
      <c r="EY45" s="28">
        <f>MIN($EZ45:FI45)</f>
        <v>0</v>
      </c>
      <c r="EZ45" s="28">
        <f t="shared" si="179"/>
      </c>
      <c r="FA45" s="28">
        <f t="shared" si="180"/>
      </c>
      <c r="FB45" s="28">
        <f t="shared" si="181"/>
      </c>
      <c r="FC45" s="28">
        <f t="shared" si="182"/>
      </c>
      <c r="FD45" s="28">
        <f t="shared" si="183"/>
      </c>
      <c r="FE45" s="28">
        <f t="shared" si="184"/>
      </c>
      <c r="FF45" s="28">
        <f t="shared" si="185"/>
      </c>
      <c r="FG45" s="28">
        <f t="shared" si="186"/>
      </c>
      <c r="FH45" s="28">
        <f t="shared" si="187"/>
      </c>
      <c r="FI45" s="28">
        <f t="shared" si="188"/>
      </c>
      <c r="FL45" s="26">
        <f t="shared" si="229"/>
        <v>255000000</v>
      </c>
      <c r="FM45" s="26">
        <f t="shared" si="230"/>
        <v>255000</v>
      </c>
      <c r="FN45" s="26">
        <f t="shared" si="231"/>
        <v>255</v>
      </c>
      <c r="FO45" s="26">
        <f>IF(C45&lt;&gt;"",SUM(FL45:FN45),0)</f>
        <v>0</v>
      </c>
      <c r="FP45" s="26">
        <f ca="1">IF(FO45&gt;0,SMALL($FO$11:INDIRECT($FO$7,FALSE),A45),0)</f>
        <v>0</v>
      </c>
      <c r="FQ45" s="26">
        <f t="shared" si="232"/>
        <v>0</v>
      </c>
      <c r="FR45" s="26">
        <f t="shared" si="233"/>
        <v>0</v>
      </c>
      <c r="FS45" s="26">
        <f t="shared" si="234"/>
        <v>0</v>
      </c>
      <c r="FT45" s="26">
        <f t="shared" si="235"/>
      </c>
      <c r="FU45" s="26">
        <f t="shared" si="236"/>
        <v>24</v>
      </c>
      <c r="FV45" s="28">
        <f t="shared" si="189"/>
      </c>
      <c r="FW45" s="26">
        <f aca="true" t="shared" si="249" ref="FW45:FW60">IF(FT45&lt;&gt;FT44,FT45,"")</f>
      </c>
      <c r="FX45" s="28">
        <f t="shared" si="237"/>
      </c>
      <c r="FY45" s="26">
        <f ca="1">IF(FX45&lt;&gt;"",RANK(FX45,FX$11:INDIRECT(FX$7,FALSE)),"")</f>
      </c>
      <c r="FZ45" s="26">
        <f t="shared" si="238"/>
      </c>
      <c r="GA45" s="26">
        <f t="shared" si="81"/>
      </c>
      <c r="GC45" s="27">
        <f t="shared" si="190"/>
      </c>
      <c r="GD45" s="27">
        <f t="shared" si="191"/>
      </c>
      <c r="GE45" s="27">
        <f t="shared" si="239"/>
      </c>
      <c r="GF45" s="27">
        <f t="shared" si="240"/>
      </c>
      <c r="GG45" s="27">
        <f t="shared" si="241"/>
        <v>0</v>
      </c>
      <c r="GH45" s="26">
        <f t="shared" si="242"/>
        <v>0</v>
      </c>
      <c r="GI45" s="26">
        <f t="shared" si="243"/>
        <v>0</v>
      </c>
      <c r="GJ45" s="26">
        <f t="shared" si="244"/>
        <v>0</v>
      </c>
      <c r="GK45" s="26">
        <f t="shared" si="245"/>
      </c>
      <c r="GL45" s="28">
        <f t="shared" si="246"/>
      </c>
      <c r="GM45" s="26">
        <f t="shared" si="247"/>
      </c>
    </row>
    <row r="46" spans="1:195" ht="12.75">
      <c r="A46" s="132">
        <f t="shared" si="248"/>
        <v>36</v>
      </c>
      <c r="B46" s="133"/>
      <c r="C46" s="134"/>
      <c r="D46" s="135"/>
      <c r="E46" s="134"/>
      <c r="F46" s="134"/>
      <c r="G46" s="149"/>
      <c r="H46" s="136">
        <f t="shared" si="192"/>
      </c>
      <c r="I46" s="137">
        <f t="shared" si="193"/>
      </c>
      <c r="J46" s="137">
        <f>AD46+AO46+BA46+BM46+BY46+CK46+CW46+DI46+DU46+EG46-(MIN(EZ46:FI46)*$EY$2)</f>
        <v>0</v>
      </c>
      <c r="K46" s="140">
        <f ca="1">IF(I46&lt;&gt;"",RANK(I46,J$11:INDIRECT(J$7,FALSE)),"")</f>
      </c>
      <c r="L46" s="137">
        <f t="shared" si="194"/>
      </c>
      <c r="M46" s="137">
        <f t="shared" si="195"/>
        <v>0</v>
      </c>
      <c r="N46" s="138">
        <f t="shared" si="160"/>
      </c>
      <c r="O46" s="159"/>
      <c r="P46" s="160">
        <f t="shared" si="38"/>
      </c>
      <c r="Q46" s="161"/>
      <c r="R46" s="162">
        <f t="shared" si="39"/>
      </c>
      <c r="S46" s="162">
        <f t="shared" si="40"/>
        <v>0</v>
      </c>
      <c r="T46" s="163">
        <f ca="1">IF(OR(O46&lt;&gt;"",Q46&lt;&gt;""),RANK(S46,S$11:INDIRECT(S$7,FALSE)),"")</f>
      </c>
      <c r="U46" s="164"/>
      <c r="V46" s="165"/>
      <c r="W46" s="165"/>
      <c r="X46" s="166"/>
      <c r="Y46" s="167"/>
      <c r="Z46" s="228"/>
      <c r="AA46" s="113">
        <f t="shared" si="196"/>
      </c>
      <c r="AB46" s="21"/>
      <c r="AC46" s="114">
        <f t="shared" si="197"/>
      </c>
      <c r="AD46" s="114">
        <f t="shared" si="198"/>
        <v>0</v>
      </c>
      <c r="AE46" s="115">
        <f ca="1">IF(OR(Z46&lt;&gt;"",AB46&lt;&gt;""),RANK(AD46,AD$11:INDIRECT(AD$7,FALSE)),"")</f>
      </c>
      <c r="AF46" s="116"/>
      <c r="AG46" s="117">
        <f t="shared" si="199"/>
      </c>
      <c r="AH46" s="117">
        <f t="shared" si="200"/>
        <v>0</v>
      </c>
      <c r="AI46" s="118">
        <f ca="1">IF(OR(Z46&lt;&gt;"",AB46&lt;&gt;""),RANK(AH46,AH$11:INDIRECT(AH$7,FALSE)),"")</f>
      </c>
      <c r="AJ46" s="119"/>
      <c r="AK46" s="5"/>
      <c r="AL46" s="113">
        <f t="shared" si="201"/>
      </c>
      <c r="AM46" s="21"/>
      <c r="AN46" s="114">
        <f t="shared" si="202"/>
      </c>
      <c r="AO46" s="114">
        <f t="shared" si="203"/>
        <v>0</v>
      </c>
      <c r="AP46" s="115">
        <f ca="1">IF(OR(AK46&lt;&gt;"",AM46&lt;&gt;""),RANK(AO46,AO$11:INDIRECT(AO$7,FALSE)),"")</f>
      </c>
      <c r="AQ46" s="116"/>
      <c r="AR46" s="117">
        <f t="shared" si="161"/>
      </c>
      <c r="AS46" s="120">
        <f>IF(AND($F$8&lt;3,AR46&lt;&gt;""),HLOOKUP(MATCH(EQ46,EZ46:FA46,0),Discards,1,FALSE),"")</f>
      </c>
      <c r="AT46" s="117">
        <f t="shared" si="162"/>
        <v>0</v>
      </c>
      <c r="AU46" s="118">
        <f ca="1">IF(OR(AK46&lt;&gt;"",AM46&lt;&gt;""),RANK(AT46,AT$11:INDIRECT(AT$7,FALSE)),"")</f>
      </c>
      <c r="AV46" s="119"/>
      <c r="AW46" s="5"/>
      <c r="AX46" s="113">
        <f t="shared" si="163"/>
      </c>
      <c r="AY46" s="21"/>
      <c r="AZ46" s="114">
        <f t="shared" si="204"/>
      </c>
      <c r="BA46" s="114">
        <f t="shared" si="205"/>
        <v>0</v>
      </c>
      <c r="BB46" s="115">
        <f ca="1">IF(OR(AW46&lt;&gt;"",AY46&lt;&gt;""),RANK(BA46,BA$11:INDIRECT(BA$7,FALSE)),"")</f>
      </c>
      <c r="BC46" s="116"/>
      <c r="BD46" s="117">
        <f t="shared" si="164"/>
      </c>
      <c r="BE46" s="120">
        <f>IF(AND($F$8&lt;4,BD46&lt;&gt;""),HLOOKUP(MATCH(ER46,EZ46:FB46,0),Discards,1,FALSE),"")</f>
      </c>
      <c r="BF46" s="117">
        <f t="shared" si="206"/>
        <v>0</v>
      </c>
      <c r="BG46" s="118">
        <f ca="1">IF(OR(AW46&lt;&gt;"",AY46&lt;&gt;""),RANK(BF46,BF$11:INDIRECT(BF$7,FALSE)),"")</f>
      </c>
      <c r="BH46" s="119"/>
      <c r="BI46" s="5"/>
      <c r="BJ46" s="113">
        <f t="shared" si="165"/>
      </c>
      <c r="BK46" s="21"/>
      <c r="BL46" s="114">
        <f t="shared" si="207"/>
      </c>
      <c r="BM46" s="114">
        <f t="shared" si="208"/>
        <v>0</v>
      </c>
      <c r="BN46" s="115">
        <f ca="1">IF(OR(BI46&lt;&gt;"",BK46&lt;&gt;""),RANK(BM46,BM$11:INDIRECT(BM$7,FALSE)),"")</f>
      </c>
      <c r="BO46" s="116"/>
      <c r="BP46" s="117">
        <f t="shared" si="166"/>
      </c>
      <c r="BQ46" s="120">
        <f>IF(AND($F$8&lt;5,BP46&lt;&gt;""),HLOOKUP(MATCH(ES46,EZ46:FC46,0),Discards,1,FALSE),"")</f>
      </c>
      <c r="BR46" s="117">
        <f t="shared" si="209"/>
        <v>0</v>
      </c>
      <c r="BS46" s="118">
        <f ca="1">IF(OR(BI46&lt;&gt;"",BK46&lt;&gt;""),RANK(BR46,BR$11:INDIRECT(BR$7,FALSE)),"")</f>
      </c>
      <c r="BT46" s="119"/>
      <c r="BU46" s="5"/>
      <c r="BV46" s="113">
        <f t="shared" si="167"/>
      </c>
      <c r="BW46" s="21"/>
      <c r="BX46" s="114">
        <f t="shared" si="210"/>
      </c>
      <c r="BY46" s="114">
        <f t="shared" si="211"/>
        <v>0</v>
      </c>
      <c r="BZ46" s="115">
        <f ca="1">IF(OR(BU46&lt;&gt;"",BW46&lt;&gt;""),RANK(BY46,BY$11:INDIRECT(BY$7,FALSE)),"")</f>
      </c>
      <c r="CA46" s="116"/>
      <c r="CB46" s="117">
        <f t="shared" si="168"/>
      </c>
      <c r="CC46" s="120">
        <f>IF(AND($F$8&lt;6,CB46&lt;&gt;""),HLOOKUP(MATCH(ET46,EZ46:FD46,0),Discards,1,FALSE),"")</f>
      </c>
      <c r="CD46" s="117">
        <f t="shared" si="212"/>
        <v>0</v>
      </c>
      <c r="CE46" s="118">
        <f ca="1">IF(OR(BU46&lt;&gt;"",BW46&lt;&gt;""),RANK(CD46,CD$11:INDIRECT(CD$7,FALSE)),"")</f>
      </c>
      <c r="CF46" s="119"/>
      <c r="CG46" s="5"/>
      <c r="CH46" s="113">
        <f t="shared" si="169"/>
      </c>
      <c r="CI46" s="21"/>
      <c r="CJ46" s="114">
        <f t="shared" si="213"/>
      </c>
      <c r="CK46" s="114">
        <f t="shared" si="214"/>
        <v>0</v>
      </c>
      <c r="CL46" s="115">
        <f ca="1">IF(OR(CG46&lt;&gt;"",CI46&lt;&gt;""),RANK(CK46,CK$11:INDIRECT(CK$7,FALSE)),"")</f>
      </c>
      <c r="CM46" s="116"/>
      <c r="CN46" s="117">
        <f t="shared" si="170"/>
      </c>
      <c r="CO46" s="120">
        <f>IF(AND($F$8&lt;7,CN46&lt;&gt;""),HLOOKUP(MATCH(EU46,EZ46:FE46,0),Discards,1,FALSE),"")</f>
      </c>
      <c r="CP46" s="117">
        <f t="shared" si="215"/>
        <v>0</v>
      </c>
      <c r="CQ46" s="118">
        <f ca="1">IF(OR(CG46&lt;&gt;"",CI46&lt;&gt;""),RANK(CP46,CP$11:INDIRECT(CP$7,FALSE)),"")</f>
      </c>
      <c r="CR46" s="119"/>
      <c r="CS46" s="5"/>
      <c r="CT46" s="113">
        <f t="shared" si="171"/>
      </c>
      <c r="CU46" s="21"/>
      <c r="CV46" s="114">
        <f t="shared" si="216"/>
      </c>
      <c r="CW46" s="114">
        <f t="shared" si="217"/>
        <v>0</v>
      </c>
      <c r="CX46" s="115">
        <f ca="1">IF(OR(CS46&lt;&gt;"",CU46&lt;&gt;""),RANK(CW46,CW$11:INDIRECT(CW$7,FALSE)),"")</f>
      </c>
      <c r="CY46" s="116"/>
      <c r="CZ46" s="117">
        <f t="shared" si="172"/>
      </c>
      <c r="DA46" s="120">
        <f>IF(AND($F$8&lt;8,CZ46&lt;&gt;""),HLOOKUP(MATCH(EV46,EZ46:FF46,0),Discards,1,FALSE),"")</f>
      </c>
      <c r="DB46" s="117">
        <f t="shared" si="218"/>
        <v>0</v>
      </c>
      <c r="DC46" s="118">
        <f ca="1">IF(OR(CS46&lt;&gt;"",CU46&lt;&gt;""),RANK(DB46,DB$11:INDIRECT(DB$7,FALSE)),"")</f>
      </c>
      <c r="DD46" s="119"/>
      <c r="DE46" s="5"/>
      <c r="DF46" s="113">
        <f t="shared" si="173"/>
      </c>
      <c r="DG46" s="21"/>
      <c r="DH46" s="114">
        <f t="shared" si="219"/>
      </c>
      <c r="DI46" s="114">
        <f t="shared" si="220"/>
        <v>0</v>
      </c>
      <c r="DJ46" s="115">
        <f ca="1">IF(OR(DE46&lt;&gt;"",DG46&lt;&gt;""),RANK(DI46,DI$11:INDIRECT(DI$7,FALSE)),"")</f>
      </c>
      <c r="DK46" s="116"/>
      <c r="DL46" s="117">
        <f t="shared" si="174"/>
      </c>
      <c r="DM46" s="120">
        <f>IF(AND($F$8&lt;9,DL46&lt;&gt;""),HLOOKUP(MATCH(EW46,EZ46:FG46,0),Discards,1,FALSE),"")</f>
      </c>
      <c r="DN46" s="117">
        <f t="shared" si="221"/>
        <v>0</v>
      </c>
      <c r="DO46" s="118">
        <f ca="1">IF(OR(DE46&lt;&gt;"",DG46&lt;&gt;""),RANK(DN46,DN$11:INDIRECT(DN$7,FALSE)),"")</f>
      </c>
      <c r="DP46" s="119"/>
      <c r="DQ46" s="5"/>
      <c r="DR46" s="113">
        <f t="shared" si="175"/>
      </c>
      <c r="DS46" s="21"/>
      <c r="DT46" s="114">
        <f t="shared" si="222"/>
      </c>
      <c r="DU46" s="114">
        <f t="shared" si="223"/>
        <v>0</v>
      </c>
      <c r="DV46" s="115">
        <f ca="1">IF(OR(DQ46&lt;&gt;"",DS46&lt;&gt;""),RANK(DU46,DU$11:INDIRECT(DU$7,FALSE)),"")</f>
      </c>
      <c r="DW46" s="116"/>
      <c r="DX46" s="117">
        <f t="shared" si="176"/>
      </c>
      <c r="DY46" s="120">
        <f>IF(AND($F$8&lt;10,DX46&lt;&gt;""),HLOOKUP(MATCH(EX46,EZ46:FH46,0),Discards,1,FALSE),"")</f>
      </c>
      <c r="DZ46" s="117">
        <f t="shared" si="224"/>
        <v>0</v>
      </c>
      <c r="EA46" s="118">
        <f ca="1">IF(OR(DQ46&lt;&gt;"",DS46&lt;&gt;""),RANK(DZ46,DZ$11:INDIRECT(DZ$7,FALSE)),"")</f>
      </c>
      <c r="EB46" s="119"/>
      <c r="EC46" s="5"/>
      <c r="ED46" s="113">
        <f t="shared" si="177"/>
      </c>
      <c r="EE46" s="21"/>
      <c r="EF46" s="114">
        <f t="shared" si="225"/>
      </c>
      <c r="EG46" s="114">
        <f t="shared" si="226"/>
        <v>0</v>
      </c>
      <c r="EH46" s="115">
        <f ca="1">IF(OR(EC46&lt;&gt;"",EE46&lt;&gt;""),RANK(EG46,EG$11:INDIRECT(EG$7,FALSE)),"")</f>
      </c>
      <c r="EI46" s="116"/>
      <c r="EJ46" s="117">
        <f t="shared" si="178"/>
      </c>
      <c r="EK46" s="120">
        <f>IF(AND($F$8&lt;11,EJ46&lt;&gt;""),HLOOKUP(MATCH(EY46,EZ46:FI46,0),Discards,1,FALSE),"")</f>
      </c>
      <c r="EL46" s="117">
        <f t="shared" si="227"/>
        <v>0</v>
      </c>
      <c r="EM46" s="118">
        <f ca="1">IF(OR(EC46&lt;&gt;"",EE46&lt;&gt;""),RANK(EL46,EL$11:INDIRECT(EL$7,FALSE)),"")</f>
      </c>
      <c r="EN46" s="121"/>
      <c r="EP46" s="112">
        <f t="shared" si="228"/>
        <v>0</v>
      </c>
      <c r="EQ46" s="28">
        <f>MIN($EZ46:FA46)</f>
        <v>0</v>
      </c>
      <c r="ER46" s="28">
        <f>MIN($EZ46:FB46)</f>
        <v>0</v>
      </c>
      <c r="ES46" s="28">
        <f>MIN($EZ46:FC46)</f>
        <v>0</v>
      </c>
      <c r="ET46" s="28">
        <f>MIN($EZ46:FD46)</f>
        <v>0</v>
      </c>
      <c r="EU46" s="28">
        <f>MIN($EZ46:FE46)</f>
        <v>0</v>
      </c>
      <c r="EV46" s="28">
        <f>MIN($EZ46:FF46)</f>
        <v>0</v>
      </c>
      <c r="EW46" s="28">
        <f>MIN($EZ46:FG46)</f>
        <v>0</v>
      </c>
      <c r="EX46" s="28">
        <f>MIN($EZ46:FH46)</f>
        <v>0</v>
      </c>
      <c r="EY46" s="28">
        <f>MIN($EZ46:FI46)</f>
        <v>0</v>
      </c>
      <c r="EZ46" s="28">
        <f t="shared" si="179"/>
      </c>
      <c r="FA46" s="28">
        <f t="shared" si="180"/>
      </c>
      <c r="FB46" s="28">
        <f t="shared" si="181"/>
      </c>
      <c r="FC46" s="28">
        <f t="shared" si="182"/>
      </c>
      <c r="FD46" s="28">
        <f t="shared" si="183"/>
      </c>
      <c r="FE46" s="28">
        <f t="shared" si="184"/>
      </c>
      <c r="FF46" s="28">
        <f t="shared" si="185"/>
      </c>
      <c r="FG46" s="28">
        <f t="shared" si="186"/>
      </c>
      <c r="FH46" s="28">
        <f t="shared" si="187"/>
      </c>
      <c r="FI46" s="28">
        <f t="shared" si="188"/>
      </c>
      <c r="FL46" s="26">
        <f t="shared" si="229"/>
        <v>255000000</v>
      </c>
      <c r="FM46" s="26">
        <f t="shared" si="230"/>
        <v>255000</v>
      </c>
      <c r="FN46" s="26">
        <f t="shared" si="231"/>
        <v>255</v>
      </c>
      <c r="FO46" s="26">
        <f>IF(C46&lt;&gt;"",SUM(FL46:FN46),0)</f>
        <v>0</v>
      </c>
      <c r="FP46" s="26">
        <f ca="1">IF(FO46&gt;0,SMALL($FO$11:INDIRECT($FO$7,FALSE),A46),0)</f>
        <v>0</v>
      </c>
      <c r="FQ46" s="26">
        <f t="shared" si="232"/>
        <v>0</v>
      </c>
      <c r="FR46" s="26">
        <f t="shared" si="233"/>
        <v>0</v>
      </c>
      <c r="FS46" s="26">
        <f t="shared" si="234"/>
        <v>0</v>
      </c>
      <c r="FT46" s="26">
        <f t="shared" si="235"/>
      </c>
      <c r="FU46" s="26">
        <f t="shared" si="236"/>
        <v>24</v>
      </c>
      <c r="FV46" s="28">
        <f t="shared" si="189"/>
      </c>
      <c r="FW46" s="26">
        <f t="shared" si="249"/>
      </c>
      <c r="FX46" s="28">
        <f t="shared" si="237"/>
      </c>
      <c r="FY46" s="26">
        <f ca="1">IF(FX46&lt;&gt;"",RANK(FX46,FX$11:INDIRECT(FX$7,FALSE)),"")</f>
      </c>
      <c r="FZ46" s="26">
        <f t="shared" si="238"/>
      </c>
      <c r="GA46" s="26">
        <f t="shared" si="81"/>
      </c>
      <c r="GC46" s="27">
        <f t="shared" si="190"/>
      </c>
      <c r="GD46" s="27">
        <f t="shared" si="191"/>
      </c>
      <c r="GE46" s="27">
        <f t="shared" si="239"/>
      </c>
      <c r="GF46" s="27">
        <f t="shared" si="240"/>
      </c>
      <c r="GG46" s="27">
        <f t="shared" si="241"/>
        <v>0</v>
      </c>
      <c r="GH46" s="26">
        <f t="shared" si="242"/>
        <v>0</v>
      </c>
      <c r="GI46" s="26">
        <f t="shared" si="243"/>
        <v>0</v>
      </c>
      <c r="GJ46" s="26">
        <f t="shared" si="244"/>
        <v>0</v>
      </c>
      <c r="GK46" s="26">
        <f t="shared" si="245"/>
      </c>
      <c r="GL46" s="28">
        <f t="shared" si="246"/>
      </c>
      <c r="GM46" s="26">
        <f t="shared" si="247"/>
      </c>
    </row>
    <row r="47" spans="1:195" ht="12.75">
      <c r="A47" s="16">
        <f t="shared" si="248"/>
        <v>37</v>
      </c>
      <c r="B47" s="17"/>
      <c r="C47" s="18"/>
      <c r="D47" s="19"/>
      <c r="E47" s="18"/>
      <c r="F47" s="18"/>
      <c r="G47" s="148"/>
      <c r="H47" s="122">
        <f t="shared" si="192"/>
      </c>
      <c r="I47" s="30">
        <f t="shared" si="193"/>
      </c>
      <c r="J47" s="30">
        <f>AD47+AO47+BA47+BM47+BY47+CK47+CW47+DI47+DU47+EG47-(MIN(EZ47:FI47)*$EY$2)</f>
        <v>0</v>
      </c>
      <c r="K47" s="139">
        <f ca="1">IF(I47&lt;&gt;"",RANK(I47,J$11:INDIRECT(J$7,FALSE)),"")</f>
      </c>
      <c r="L47" s="102">
        <f t="shared" si="194"/>
      </c>
      <c r="M47" s="102">
        <f t="shared" si="195"/>
        <v>0</v>
      </c>
      <c r="N47" s="51">
        <f t="shared" si="160"/>
      </c>
      <c r="O47" s="150"/>
      <c r="P47" s="151">
        <f t="shared" si="38"/>
      </c>
      <c r="Q47" s="152"/>
      <c r="R47" s="153">
        <f t="shared" si="39"/>
      </c>
      <c r="S47" s="153">
        <f t="shared" si="40"/>
        <v>0</v>
      </c>
      <c r="T47" s="154">
        <f ca="1">IF(OR(O47&lt;&gt;"",Q47&lt;&gt;""),RANK(S47,S$11:INDIRECT(S$7,FALSE)),"")</f>
      </c>
      <c r="U47" s="155"/>
      <c r="V47" s="156"/>
      <c r="W47" s="156"/>
      <c r="X47" s="157"/>
      <c r="Y47" s="158"/>
      <c r="Z47" s="227"/>
      <c r="AA47" s="103">
        <f t="shared" si="196"/>
      </c>
      <c r="AB47" s="20"/>
      <c r="AC47" s="104">
        <f t="shared" si="197"/>
      </c>
      <c r="AD47" s="104">
        <f t="shared" si="198"/>
        <v>0</v>
      </c>
      <c r="AE47" s="105">
        <f ca="1">IF(OR(Z47&lt;&gt;"",AB47&lt;&gt;""),RANK(AD47,AD$11:INDIRECT(AD$7,FALSE)),"")</f>
      </c>
      <c r="AF47" s="106"/>
      <c r="AG47" s="107">
        <f t="shared" si="199"/>
      </c>
      <c r="AH47" s="107">
        <f t="shared" si="200"/>
        <v>0</v>
      </c>
      <c r="AI47" s="108">
        <f ca="1">IF(OR(Z47&lt;&gt;"",AB47&lt;&gt;""),RANK(AH47,AH$11:INDIRECT(AH$7,FALSE)),"")</f>
      </c>
      <c r="AJ47" s="109"/>
      <c r="AK47" s="4"/>
      <c r="AL47" s="103">
        <f t="shared" si="201"/>
      </c>
      <c r="AM47" s="20"/>
      <c r="AN47" s="104">
        <f t="shared" si="202"/>
      </c>
      <c r="AO47" s="104">
        <f t="shared" si="203"/>
        <v>0</v>
      </c>
      <c r="AP47" s="105">
        <f ca="1">IF(OR(AK47&lt;&gt;"",AM47&lt;&gt;""),RANK(AO47,AO$11:INDIRECT(AO$7,FALSE)),"")</f>
      </c>
      <c r="AQ47" s="106"/>
      <c r="AR47" s="107">
        <f t="shared" si="161"/>
      </c>
      <c r="AS47" s="110">
        <f>IF(AND($F$8&lt;3,AR47&lt;&gt;""),HLOOKUP(MATCH(EQ47,EZ47:FA47,0),Discards,1,FALSE),"")</f>
      </c>
      <c r="AT47" s="107">
        <f t="shared" si="162"/>
        <v>0</v>
      </c>
      <c r="AU47" s="108">
        <f ca="1">IF(OR(AK47&lt;&gt;"",AM47&lt;&gt;""),RANK(AT47,AT$11:INDIRECT(AT$7,FALSE)),"")</f>
      </c>
      <c r="AV47" s="109"/>
      <c r="AW47" s="4"/>
      <c r="AX47" s="103">
        <f t="shared" si="163"/>
      </c>
      <c r="AY47" s="20"/>
      <c r="AZ47" s="104">
        <f t="shared" si="204"/>
      </c>
      <c r="BA47" s="104">
        <f t="shared" si="205"/>
        <v>0</v>
      </c>
      <c r="BB47" s="105">
        <f ca="1">IF(OR(AW47&lt;&gt;"",AY47&lt;&gt;""),RANK(BA47,BA$11:INDIRECT(BA$7,FALSE)),"")</f>
      </c>
      <c r="BC47" s="106"/>
      <c r="BD47" s="107">
        <f t="shared" si="164"/>
      </c>
      <c r="BE47" s="110">
        <f>IF(AND($F$8&lt;4,BD47&lt;&gt;""),HLOOKUP(MATCH(ER47,EZ47:FB47,0),Discards,1,FALSE),"")</f>
      </c>
      <c r="BF47" s="107">
        <f t="shared" si="206"/>
        <v>0</v>
      </c>
      <c r="BG47" s="108">
        <f ca="1">IF(OR(AW47&lt;&gt;"",AY47&lt;&gt;""),RANK(BF47,BF$11:INDIRECT(BF$7,FALSE)),"")</f>
      </c>
      <c r="BH47" s="109"/>
      <c r="BI47" s="4"/>
      <c r="BJ47" s="103">
        <f t="shared" si="165"/>
      </c>
      <c r="BK47" s="20"/>
      <c r="BL47" s="104">
        <f t="shared" si="207"/>
      </c>
      <c r="BM47" s="104">
        <f t="shared" si="208"/>
        <v>0</v>
      </c>
      <c r="BN47" s="105">
        <f ca="1">IF(OR(BI47&lt;&gt;"",BK47&lt;&gt;""),RANK(BM47,BM$11:INDIRECT(BM$7,FALSE)),"")</f>
      </c>
      <c r="BO47" s="106"/>
      <c r="BP47" s="107">
        <f t="shared" si="166"/>
      </c>
      <c r="BQ47" s="110">
        <f>IF(AND($F$8&lt;5,BP47&lt;&gt;""),HLOOKUP(MATCH(ES47,EZ47:FC47,0),Discards,1,FALSE),"")</f>
      </c>
      <c r="BR47" s="107">
        <f t="shared" si="209"/>
        <v>0</v>
      </c>
      <c r="BS47" s="108">
        <f ca="1">IF(OR(BI47&lt;&gt;"",BK47&lt;&gt;""),RANK(BR47,BR$11:INDIRECT(BR$7,FALSE)),"")</f>
      </c>
      <c r="BT47" s="109"/>
      <c r="BU47" s="4"/>
      <c r="BV47" s="103">
        <f t="shared" si="167"/>
      </c>
      <c r="BW47" s="20"/>
      <c r="BX47" s="104">
        <f t="shared" si="210"/>
      </c>
      <c r="BY47" s="104">
        <f t="shared" si="211"/>
        <v>0</v>
      </c>
      <c r="BZ47" s="105">
        <f ca="1">IF(OR(BU47&lt;&gt;"",BW47&lt;&gt;""),RANK(BY47,BY$11:INDIRECT(BY$7,FALSE)),"")</f>
      </c>
      <c r="CA47" s="106"/>
      <c r="CB47" s="107">
        <f t="shared" si="168"/>
      </c>
      <c r="CC47" s="110">
        <f>IF(AND($F$8&lt;6,CB47&lt;&gt;""),HLOOKUP(MATCH(ET47,EZ47:FD47,0),Discards,1,FALSE),"")</f>
      </c>
      <c r="CD47" s="107">
        <f t="shared" si="212"/>
        <v>0</v>
      </c>
      <c r="CE47" s="108">
        <f ca="1">IF(OR(BU47&lt;&gt;"",BW47&lt;&gt;""),RANK(CD47,CD$11:INDIRECT(CD$7,FALSE)),"")</f>
      </c>
      <c r="CF47" s="109"/>
      <c r="CG47" s="4"/>
      <c r="CH47" s="103">
        <f t="shared" si="169"/>
      </c>
      <c r="CI47" s="20"/>
      <c r="CJ47" s="104">
        <f t="shared" si="213"/>
      </c>
      <c r="CK47" s="104">
        <f t="shared" si="214"/>
        <v>0</v>
      </c>
      <c r="CL47" s="105">
        <f ca="1">IF(OR(CG47&lt;&gt;"",CI47&lt;&gt;""),RANK(CK47,CK$11:INDIRECT(CK$7,FALSE)),"")</f>
      </c>
      <c r="CM47" s="106"/>
      <c r="CN47" s="107">
        <f t="shared" si="170"/>
      </c>
      <c r="CO47" s="110">
        <f>IF(AND($F$8&lt;7,CN47&lt;&gt;""),HLOOKUP(MATCH(EU47,EZ47:FE47,0),Discards,1,FALSE),"")</f>
      </c>
      <c r="CP47" s="107">
        <f t="shared" si="215"/>
        <v>0</v>
      </c>
      <c r="CQ47" s="108">
        <f ca="1">IF(OR(CG47&lt;&gt;"",CI47&lt;&gt;""),RANK(CP47,CP$11:INDIRECT(CP$7,FALSE)),"")</f>
      </c>
      <c r="CR47" s="109"/>
      <c r="CS47" s="4"/>
      <c r="CT47" s="103">
        <f t="shared" si="171"/>
      </c>
      <c r="CU47" s="20"/>
      <c r="CV47" s="104">
        <f t="shared" si="216"/>
      </c>
      <c r="CW47" s="104">
        <f t="shared" si="217"/>
        <v>0</v>
      </c>
      <c r="CX47" s="105">
        <f ca="1">IF(OR(CS47&lt;&gt;"",CU47&lt;&gt;""),RANK(CW47,CW$11:INDIRECT(CW$7,FALSE)),"")</f>
      </c>
      <c r="CY47" s="106"/>
      <c r="CZ47" s="107">
        <f t="shared" si="172"/>
      </c>
      <c r="DA47" s="110">
        <f>IF(AND($F$8&lt;8,CZ47&lt;&gt;""),HLOOKUP(MATCH(EV47,EZ47:FF47,0),Discards,1,FALSE),"")</f>
      </c>
      <c r="DB47" s="107">
        <f t="shared" si="218"/>
        <v>0</v>
      </c>
      <c r="DC47" s="108">
        <f ca="1">IF(OR(CS47&lt;&gt;"",CU47&lt;&gt;""),RANK(DB47,DB$11:INDIRECT(DB$7,FALSE)),"")</f>
      </c>
      <c r="DD47" s="109"/>
      <c r="DE47" s="4"/>
      <c r="DF47" s="103">
        <f t="shared" si="173"/>
      </c>
      <c r="DG47" s="20"/>
      <c r="DH47" s="104">
        <f t="shared" si="219"/>
      </c>
      <c r="DI47" s="104">
        <f t="shared" si="220"/>
        <v>0</v>
      </c>
      <c r="DJ47" s="105">
        <f ca="1">IF(OR(DE47&lt;&gt;"",DG47&lt;&gt;""),RANK(DI47,DI$11:INDIRECT(DI$7,FALSE)),"")</f>
      </c>
      <c r="DK47" s="106"/>
      <c r="DL47" s="107">
        <f t="shared" si="174"/>
      </c>
      <c r="DM47" s="110">
        <f>IF(AND($F$8&lt;9,DL47&lt;&gt;""),HLOOKUP(MATCH(EW47,EZ47:FG47,0),Discards,1,FALSE),"")</f>
      </c>
      <c r="DN47" s="107">
        <f t="shared" si="221"/>
        <v>0</v>
      </c>
      <c r="DO47" s="108">
        <f ca="1">IF(OR(DE47&lt;&gt;"",DG47&lt;&gt;""),RANK(DN47,DN$11:INDIRECT(DN$7,FALSE)),"")</f>
      </c>
      <c r="DP47" s="109"/>
      <c r="DQ47" s="4"/>
      <c r="DR47" s="103">
        <f t="shared" si="175"/>
      </c>
      <c r="DS47" s="20"/>
      <c r="DT47" s="104">
        <f t="shared" si="222"/>
      </c>
      <c r="DU47" s="104">
        <f t="shared" si="223"/>
        <v>0</v>
      </c>
      <c r="DV47" s="105">
        <f ca="1">IF(OR(DQ47&lt;&gt;"",DS47&lt;&gt;""),RANK(DU47,DU$11:INDIRECT(DU$7,FALSE)),"")</f>
      </c>
      <c r="DW47" s="106"/>
      <c r="DX47" s="107">
        <f t="shared" si="176"/>
      </c>
      <c r="DY47" s="110">
        <f>IF(AND($F$8&lt;10,DX47&lt;&gt;""),HLOOKUP(MATCH(EX47,EZ47:FH47,0),Discards,1,FALSE),"")</f>
      </c>
      <c r="DZ47" s="107">
        <f t="shared" si="224"/>
        <v>0</v>
      </c>
      <c r="EA47" s="108">
        <f ca="1">IF(OR(DQ47&lt;&gt;"",DS47&lt;&gt;""),RANK(DZ47,DZ$11:INDIRECT(DZ$7,FALSE)),"")</f>
      </c>
      <c r="EB47" s="109"/>
      <c r="EC47" s="4"/>
      <c r="ED47" s="103">
        <f t="shared" si="177"/>
      </c>
      <c r="EE47" s="20"/>
      <c r="EF47" s="104">
        <f t="shared" si="225"/>
      </c>
      <c r="EG47" s="104">
        <f t="shared" si="226"/>
        <v>0</v>
      </c>
      <c r="EH47" s="105">
        <f ca="1">IF(OR(EC47&lt;&gt;"",EE47&lt;&gt;""),RANK(EG47,EG$11:INDIRECT(EG$7,FALSE)),"")</f>
      </c>
      <c r="EI47" s="106"/>
      <c r="EJ47" s="107">
        <f t="shared" si="178"/>
      </c>
      <c r="EK47" s="110">
        <f>IF(AND($F$8&lt;11,EJ47&lt;&gt;""),HLOOKUP(MATCH(EY47,EZ47:FI47,0),Discards,1,FALSE),"")</f>
      </c>
      <c r="EL47" s="107">
        <f t="shared" si="227"/>
        <v>0</v>
      </c>
      <c r="EM47" s="108">
        <f ca="1">IF(OR(EC47&lt;&gt;"",EE47&lt;&gt;""),RANK(EL47,EL$11:INDIRECT(EL$7,FALSE)),"")</f>
      </c>
      <c r="EN47" s="111"/>
      <c r="EP47" s="112">
        <f t="shared" si="228"/>
        <v>0</v>
      </c>
      <c r="EQ47" s="28">
        <f>MIN($EZ47:FA47)</f>
        <v>0</v>
      </c>
      <c r="ER47" s="28">
        <f>MIN($EZ47:FB47)</f>
        <v>0</v>
      </c>
      <c r="ES47" s="28">
        <f>MIN($EZ47:FC47)</f>
        <v>0</v>
      </c>
      <c r="ET47" s="28">
        <f>MIN($EZ47:FD47)</f>
        <v>0</v>
      </c>
      <c r="EU47" s="28">
        <f>MIN($EZ47:FE47)</f>
        <v>0</v>
      </c>
      <c r="EV47" s="28">
        <f>MIN($EZ47:FF47)</f>
        <v>0</v>
      </c>
      <c r="EW47" s="28">
        <f>MIN($EZ47:FG47)</f>
        <v>0</v>
      </c>
      <c r="EX47" s="28">
        <f>MIN($EZ47:FH47)</f>
        <v>0</v>
      </c>
      <c r="EY47" s="28">
        <f>MIN($EZ47:FI47)</f>
        <v>0</v>
      </c>
      <c r="EZ47" s="28">
        <f t="shared" si="179"/>
      </c>
      <c r="FA47" s="28">
        <f t="shared" si="180"/>
      </c>
      <c r="FB47" s="28">
        <f t="shared" si="181"/>
      </c>
      <c r="FC47" s="28">
        <f t="shared" si="182"/>
      </c>
      <c r="FD47" s="28">
        <f t="shared" si="183"/>
      </c>
      <c r="FE47" s="28">
        <f t="shared" si="184"/>
      </c>
      <c r="FF47" s="28">
        <f t="shared" si="185"/>
      </c>
      <c r="FG47" s="28">
        <f t="shared" si="186"/>
      </c>
      <c r="FH47" s="28">
        <f t="shared" si="187"/>
      </c>
      <c r="FI47" s="28">
        <f t="shared" si="188"/>
      </c>
      <c r="FL47" s="26">
        <f t="shared" si="229"/>
        <v>255000000</v>
      </c>
      <c r="FM47" s="26">
        <f t="shared" si="230"/>
        <v>255000</v>
      </c>
      <c r="FN47" s="26">
        <f t="shared" si="231"/>
        <v>255</v>
      </c>
      <c r="FO47" s="26">
        <f>IF(C47&lt;&gt;"",SUM(FL47:FN47),0)</f>
        <v>0</v>
      </c>
      <c r="FP47" s="26">
        <f ca="1">IF(FO47&gt;0,SMALL($FO$11:INDIRECT($FO$7,FALSE),A47),0)</f>
        <v>0</v>
      </c>
      <c r="FQ47" s="26">
        <f t="shared" si="232"/>
        <v>0</v>
      </c>
      <c r="FR47" s="26">
        <f t="shared" si="233"/>
        <v>0</v>
      </c>
      <c r="FS47" s="26">
        <f t="shared" si="234"/>
        <v>0</v>
      </c>
      <c r="FT47" s="26">
        <f t="shared" si="235"/>
      </c>
      <c r="FU47" s="26">
        <f t="shared" si="236"/>
        <v>24</v>
      </c>
      <c r="FV47" s="28">
        <f t="shared" si="189"/>
      </c>
      <c r="FW47" s="26">
        <f t="shared" si="249"/>
      </c>
      <c r="FX47" s="28">
        <f t="shared" si="237"/>
      </c>
      <c r="FY47" s="26">
        <f ca="1">IF(FX47&lt;&gt;"",RANK(FX47,FX$11:INDIRECT(FX$7,FALSE)),"")</f>
      </c>
      <c r="FZ47" s="26">
        <f t="shared" si="238"/>
      </c>
      <c r="GA47" s="26">
        <f t="shared" si="81"/>
      </c>
      <c r="GC47" s="27">
        <f t="shared" si="190"/>
      </c>
      <c r="GD47" s="27">
        <f t="shared" si="191"/>
      </c>
      <c r="GE47" s="27">
        <f t="shared" si="239"/>
      </c>
      <c r="GF47" s="27">
        <f t="shared" si="240"/>
      </c>
      <c r="GG47" s="27">
        <f t="shared" si="241"/>
        <v>0</v>
      </c>
      <c r="GH47" s="26">
        <f t="shared" si="242"/>
        <v>0</v>
      </c>
      <c r="GI47" s="26">
        <f t="shared" si="243"/>
        <v>0</v>
      </c>
      <c r="GJ47" s="26">
        <f t="shared" si="244"/>
        <v>0</v>
      </c>
      <c r="GK47" s="26">
        <f t="shared" si="245"/>
      </c>
      <c r="GL47" s="28">
        <f t="shared" si="246"/>
      </c>
      <c r="GM47" s="26">
        <f t="shared" si="247"/>
      </c>
    </row>
    <row r="48" spans="1:195" ht="12.75">
      <c r="A48" s="16">
        <f t="shared" si="248"/>
        <v>38</v>
      </c>
      <c r="B48" s="17"/>
      <c r="C48" s="18"/>
      <c r="D48" s="19"/>
      <c r="E48" s="18"/>
      <c r="F48" s="18"/>
      <c r="G48" s="148"/>
      <c r="H48" s="122">
        <f t="shared" si="192"/>
      </c>
      <c r="I48" s="30">
        <f t="shared" si="193"/>
      </c>
      <c r="J48" s="30">
        <f>AD48+AO48+BA48+BM48+BY48+CK48+CW48+DI48+DU48+EG48-(MIN(EZ48:FI48)*$EY$2)</f>
        <v>0</v>
      </c>
      <c r="K48" s="139">
        <f ca="1">IF(I48&lt;&gt;"",RANK(I48,J$11:INDIRECT(J$7,FALSE)),"")</f>
      </c>
      <c r="L48" s="102">
        <f t="shared" si="194"/>
      </c>
      <c r="M48" s="102">
        <f t="shared" si="195"/>
        <v>0</v>
      </c>
      <c r="N48" s="51">
        <f t="shared" si="160"/>
      </c>
      <c r="O48" s="150"/>
      <c r="P48" s="151">
        <f t="shared" si="38"/>
      </c>
      <c r="Q48" s="152"/>
      <c r="R48" s="153">
        <f t="shared" si="39"/>
      </c>
      <c r="S48" s="153">
        <f t="shared" si="40"/>
        <v>0</v>
      </c>
      <c r="T48" s="154">
        <f ca="1">IF(OR(O48&lt;&gt;"",Q48&lt;&gt;""),RANK(S48,S$11:INDIRECT(S$7,FALSE)),"")</f>
      </c>
      <c r="U48" s="155"/>
      <c r="V48" s="156"/>
      <c r="W48" s="156"/>
      <c r="X48" s="157"/>
      <c r="Y48" s="158"/>
      <c r="Z48" s="227"/>
      <c r="AA48" s="103">
        <f t="shared" si="196"/>
      </c>
      <c r="AB48" s="20"/>
      <c r="AC48" s="104">
        <f t="shared" si="197"/>
      </c>
      <c r="AD48" s="104">
        <f t="shared" si="198"/>
        <v>0</v>
      </c>
      <c r="AE48" s="105">
        <f ca="1">IF(OR(Z48&lt;&gt;"",AB48&lt;&gt;""),RANK(AD48,AD$11:INDIRECT(AD$7,FALSE)),"")</f>
      </c>
      <c r="AF48" s="106"/>
      <c r="AG48" s="107">
        <f t="shared" si="199"/>
      </c>
      <c r="AH48" s="107">
        <f t="shared" si="200"/>
        <v>0</v>
      </c>
      <c r="AI48" s="108">
        <f ca="1">IF(OR(Z48&lt;&gt;"",AB48&lt;&gt;""),RANK(AH48,AH$11:INDIRECT(AH$7,FALSE)),"")</f>
      </c>
      <c r="AJ48" s="109"/>
      <c r="AK48" s="4"/>
      <c r="AL48" s="103">
        <f t="shared" si="201"/>
      </c>
      <c r="AM48" s="20"/>
      <c r="AN48" s="104">
        <f t="shared" si="202"/>
      </c>
      <c r="AO48" s="104">
        <f t="shared" si="203"/>
        <v>0</v>
      </c>
      <c r="AP48" s="105">
        <f ca="1">IF(OR(AK48&lt;&gt;"",AM48&lt;&gt;""),RANK(AO48,AO$11:INDIRECT(AO$7,FALSE)),"")</f>
      </c>
      <c r="AQ48" s="106"/>
      <c r="AR48" s="107">
        <f t="shared" si="161"/>
      </c>
      <c r="AS48" s="110">
        <f>IF(AND($F$8&lt;3,AR48&lt;&gt;""),HLOOKUP(MATCH(EQ48,EZ48:FA48,0),Discards,1,FALSE),"")</f>
      </c>
      <c r="AT48" s="107">
        <f t="shared" si="162"/>
        <v>0</v>
      </c>
      <c r="AU48" s="108">
        <f ca="1">IF(OR(AK48&lt;&gt;"",AM48&lt;&gt;""),RANK(AT48,AT$11:INDIRECT(AT$7,FALSE)),"")</f>
      </c>
      <c r="AV48" s="109"/>
      <c r="AW48" s="4"/>
      <c r="AX48" s="103">
        <f t="shared" si="163"/>
      </c>
      <c r="AY48" s="20"/>
      <c r="AZ48" s="104">
        <f t="shared" si="204"/>
      </c>
      <c r="BA48" s="104">
        <f t="shared" si="205"/>
        <v>0</v>
      </c>
      <c r="BB48" s="105">
        <f ca="1">IF(OR(AW48&lt;&gt;"",AY48&lt;&gt;""),RANK(BA48,BA$11:INDIRECT(BA$7,FALSE)),"")</f>
      </c>
      <c r="BC48" s="106"/>
      <c r="BD48" s="107">
        <f t="shared" si="164"/>
      </c>
      <c r="BE48" s="110">
        <f>IF(AND($F$8&lt;4,BD48&lt;&gt;""),HLOOKUP(MATCH(ER48,EZ48:FB48,0),Discards,1,FALSE),"")</f>
      </c>
      <c r="BF48" s="107">
        <f t="shared" si="206"/>
        <v>0</v>
      </c>
      <c r="BG48" s="108">
        <f ca="1">IF(OR(AW48&lt;&gt;"",AY48&lt;&gt;""),RANK(BF48,BF$11:INDIRECT(BF$7,FALSE)),"")</f>
      </c>
      <c r="BH48" s="109"/>
      <c r="BI48" s="4"/>
      <c r="BJ48" s="103">
        <f t="shared" si="165"/>
      </c>
      <c r="BK48" s="20"/>
      <c r="BL48" s="104">
        <f t="shared" si="207"/>
      </c>
      <c r="BM48" s="104">
        <f t="shared" si="208"/>
        <v>0</v>
      </c>
      <c r="BN48" s="105">
        <f ca="1">IF(OR(BI48&lt;&gt;"",BK48&lt;&gt;""),RANK(BM48,BM$11:INDIRECT(BM$7,FALSE)),"")</f>
      </c>
      <c r="BO48" s="106"/>
      <c r="BP48" s="107">
        <f t="shared" si="166"/>
      </c>
      <c r="BQ48" s="110">
        <f>IF(AND($F$8&lt;5,BP48&lt;&gt;""),HLOOKUP(MATCH(ES48,EZ48:FC48,0),Discards,1,FALSE),"")</f>
      </c>
      <c r="BR48" s="107">
        <f t="shared" si="209"/>
        <v>0</v>
      </c>
      <c r="BS48" s="108">
        <f ca="1">IF(OR(BI48&lt;&gt;"",BK48&lt;&gt;""),RANK(BR48,BR$11:INDIRECT(BR$7,FALSE)),"")</f>
      </c>
      <c r="BT48" s="109"/>
      <c r="BU48" s="4"/>
      <c r="BV48" s="103">
        <f t="shared" si="167"/>
      </c>
      <c r="BW48" s="20"/>
      <c r="BX48" s="104">
        <f t="shared" si="210"/>
      </c>
      <c r="BY48" s="104">
        <f t="shared" si="211"/>
        <v>0</v>
      </c>
      <c r="BZ48" s="105">
        <f ca="1">IF(OR(BU48&lt;&gt;"",BW48&lt;&gt;""),RANK(BY48,BY$11:INDIRECT(BY$7,FALSE)),"")</f>
      </c>
      <c r="CA48" s="106"/>
      <c r="CB48" s="107">
        <f t="shared" si="168"/>
      </c>
      <c r="CC48" s="110">
        <f>IF(AND($F$8&lt;6,CB48&lt;&gt;""),HLOOKUP(MATCH(ET48,EZ48:FD48,0),Discards,1,FALSE),"")</f>
      </c>
      <c r="CD48" s="107">
        <f t="shared" si="212"/>
        <v>0</v>
      </c>
      <c r="CE48" s="108">
        <f ca="1">IF(OR(BU48&lt;&gt;"",BW48&lt;&gt;""),RANK(CD48,CD$11:INDIRECT(CD$7,FALSE)),"")</f>
      </c>
      <c r="CF48" s="109"/>
      <c r="CG48" s="4"/>
      <c r="CH48" s="103">
        <f t="shared" si="169"/>
      </c>
      <c r="CI48" s="20"/>
      <c r="CJ48" s="104">
        <f t="shared" si="213"/>
      </c>
      <c r="CK48" s="104">
        <f t="shared" si="214"/>
        <v>0</v>
      </c>
      <c r="CL48" s="105">
        <f ca="1">IF(OR(CG48&lt;&gt;"",CI48&lt;&gt;""),RANK(CK48,CK$11:INDIRECT(CK$7,FALSE)),"")</f>
      </c>
      <c r="CM48" s="106"/>
      <c r="CN48" s="107">
        <f t="shared" si="170"/>
      </c>
      <c r="CO48" s="110">
        <f>IF(AND($F$8&lt;7,CN48&lt;&gt;""),HLOOKUP(MATCH(EU48,EZ48:FE48,0),Discards,1,FALSE),"")</f>
      </c>
      <c r="CP48" s="107">
        <f t="shared" si="215"/>
        <v>0</v>
      </c>
      <c r="CQ48" s="108">
        <f ca="1">IF(OR(CG48&lt;&gt;"",CI48&lt;&gt;""),RANK(CP48,CP$11:INDIRECT(CP$7,FALSE)),"")</f>
      </c>
      <c r="CR48" s="109"/>
      <c r="CS48" s="4"/>
      <c r="CT48" s="103">
        <f t="shared" si="171"/>
      </c>
      <c r="CU48" s="20"/>
      <c r="CV48" s="104">
        <f t="shared" si="216"/>
      </c>
      <c r="CW48" s="104">
        <f t="shared" si="217"/>
        <v>0</v>
      </c>
      <c r="CX48" s="105">
        <f ca="1">IF(OR(CS48&lt;&gt;"",CU48&lt;&gt;""),RANK(CW48,CW$11:INDIRECT(CW$7,FALSE)),"")</f>
      </c>
      <c r="CY48" s="106"/>
      <c r="CZ48" s="107">
        <f t="shared" si="172"/>
      </c>
      <c r="DA48" s="110">
        <f>IF(AND($F$8&lt;8,CZ48&lt;&gt;""),HLOOKUP(MATCH(EV48,EZ48:FF48,0),Discards,1,FALSE),"")</f>
      </c>
      <c r="DB48" s="107">
        <f t="shared" si="218"/>
        <v>0</v>
      </c>
      <c r="DC48" s="108">
        <f ca="1">IF(OR(CS48&lt;&gt;"",CU48&lt;&gt;""),RANK(DB48,DB$11:INDIRECT(DB$7,FALSE)),"")</f>
      </c>
      <c r="DD48" s="109"/>
      <c r="DE48" s="4"/>
      <c r="DF48" s="103">
        <f t="shared" si="173"/>
      </c>
      <c r="DG48" s="20"/>
      <c r="DH48" s="104">
        <f t="shared" si="219"/>
      </c>
      <c r="DI48" s="104">
        <f t="shared" si="220"/>
        <v>0</v>
      </c>
      <c r="DJ48" s="105">
        <f ca="1">IF(OR(DE48&lt;&gt;"",DG48&lt;&gt;""),RANK(DI48,DI$11:INDIRECT(DI$7,FALSE)),"")</f>
      </c>
      <c r="DK48" s="106"/>
      <c r="DL48" s="107">
        <f t="shared" si="174"/>
      </c>
      <c r="DM48" s="110">
        <f>IF(AND($F$8&lt;9,DL48&lt;&gt;""),HLOOKUP(MATCH(EW48,EZ48:FG48,0),Discards,1,FALSE),"")</f>
      </c>
      <c r="DN48" s="107">
        <f t="shared" si="221"/>
        <v>0</v>
      </c>
      <c r="DO48" s="108">
        <f ca="1">IF(OR(DE48&lt;&gt;"",DG48&lt;&gt;""),RANK(DN48,DN$11:INDIRECT(DN$7,FALSE)),"")</f>
      </c>
      <c r="DP48" s="109"/>
      <c r="DQ48" s="4"/>
      <c r="DR48" s="103">
        <f t="shared" si="175"/>
      </c>
      <c r="DS48" s="20"/>
      <c r="DT48" s="104">
        <f t="shared" si="222"/>
      </c>
      <c r="DU48" s="104">
        <f t="shared" si="223"/>
        <v>0</v>
      </c>
      <c r="DV48" s="105">
        <f ca="1">IF(OR(DQ48&lt;&gt;"",DS48&lt;&gt;""),RANK(DU48,DU$11:INDIRECT(DU$7,FALSE)),"")</f>
      </c>
      <c r="DW48" s="106"/>
      <c r="DX48" s="107">
        <f t="shared" si="176"/>
      </c>
      <c r="DY48" s="110">
        <f>IF(AND($F$8&lt;10,DX48&lt;&gt;""),HLOOKUP(MATCH(EX48,EZ48:FH48,0),Discards,1,FALSE),"")</f>
      </c>
      <c r="DZ48" s="107">
        <f t="shared" si="224"/>
        <v>0</v>
      </c>
      <c r="EA48" s="108">
        <f ca="1">IF(OR(DQ48&lt;&gt;"",DS48&lt;&gt;""),RANK(DZ48,DZ$11:INDIRECT(DZ$7,FALSE)),"")</f>
      </c>
      <c r="EB48" s="109"/>
      <c r="EC48" s="4"/>
      <c r="ED48" s="103">
        <f t="shared" si="177"/>
      </c>
      <c r="EE48" s="20"/>
      <c r="EF48" s="104">
        <f t="shared" si="225"/>
      </c>
      <c r="EG48" s="104">
        <f t="shared" si="226"/>
        <v>0</v>
      </c>
      <c r="EH48" s="105">
        <f ca="1">IF(OR(EC48&lt;&gt;"",EE48&lt;&gt;""),RANK(EG48,EG$11:INDIRECT(EG$7,FALSE)),"")</f>
      </c>
      <c r="EI48" s="106"/>
      <c r="EJ48" s="107">
        <f t="shared" si="178"/>
      </c>
      <c r="EK48" s="110">
        <f>IF(AND($F$8&lt;11,EJ48&lt;&gt;""),HLOOKUP(MATCH(EY48,EZ48:FI48,0),Discards,1,FALSE),"")</f>
      </c>
      <c r="EL48" s="107">
        <f t="shared" si="227"/>
        <v>0</v>
      </c>
      <c r="EM48" s="108">
        <f ca="1">IF(OR(EC48&lt;&gt;"",EE48&lt;&gt;""),RANK(EL48,EL$11:INDIRECT(EL$7,FALSE)),"")</f>
      </c>
      <c r="EN48" s="111"/>
      <c r="EP48" s="112">
        <f t="shared" si="228"/>
        <v>0</v>
      </c>
      <c r="EQ48" s="28">
        <f>MIN($EZ48:FA48)</f>
        <v>0</v>
      </c>
      <c r="ER48" s="28">
        <f>MIN($EZ48:FB48)</f>
        <v>0</v>
      </c>
      <c r="ES48" s="28">
        <f>MIN($EZ48:FC48)</f>
        <v>0</v>
      </c>
      <c r="ET48" s="28">
        <f>MIN($EZ48:FD48)</f>
        <v>0</v>
      </c>
      <c r="EU48" s="28">
        <f>MIN($EZ48:FE48)</f>
        <v>0</v>
      </c>
      <c r="EV48" s="28">
        <f>MIN($EZ48:FF48)</f>
        <v>0</v>
      </c>
      <c r="EW48" s="28">
        <f>MIN($EZ48:FG48)</f>
        <v>0</v>
      </c>
      <c r="EX48" s="28">
        <f>MIN($EZ48:FH48)</f>
        <v>0</v>
      </c>
      <c r="EY48" s="28">
        <f>MIN($EZ48:FI48)</f>
        <v>0</v>
      </c>
      <c r="EZ48" s="28">
        <f t="shared" si="179"/>
      </c>
      <c r="FA48" s="28">
        <f t="shared" si="180"/>
      </c>
      <c r="FB48" s="28">
        <f t="shared" si="181"/>
      </c>
      <c r="FC48" s="28">
        <f t="shared" si="182"/>
      </c>
      <c r="FD48" s="28">
        <f t="shared" si="183"/>
      </c>
      <c r="FE48" s="28">
        <f t="shared" si="184"/>
      </c>
      <c r="FF48" s="28">
        <f t="shared" si="185"/>
      </c>
      <c r="FG48" s="28">
        <f t="shared" si="186"/>
      </c>
      <c r="FH48" s="28">
        <f t="shared" si="187"/>
      </c>
      <c r="FI48" s="28">
        <f t="shared" si="188"/>
      </c>
      <c r="FL48" s="26">
        <f t="shared" si="229"/>
        <v>255000000</v>
      </c>
      <c r="FM48" s="26">
        <f t="shared" si="230"/>
        <v>255000</v>
      </c>
      <c r="FN48" s="26">
        <f t="shared" si="231"/>
        <v>255</v>
      </c>
      <c r="FO48" s="26">
        <f>IF(C48&lt;&gt;"",SUM(FL48:FN48),0)</f>
        <v>0</v>
      </c>
      <c r="FP48" s="26">
        <f ca="1">IF(FO48&gt;0,SMALL($FO$11:INDIRECT($FO$7,FALSE),A48),0)</f>
        <v>0</v>
      </c>
      <c r="FQ48" s="26">
        <f t="shared" si="232"/>
        <v>0</v>
      </c>
      <c r="FR48" s="26">
        <f t="shared" si="233"/>
        <v>0</v>
      </c>
      <c r="FS48" s="26">
        <f t="shared" si="234"/>
        <v>0</v>
      </c>
      <c r="FT48" s="26">
        <f t="shared" si="235"/>
      </c>
      <c r="FU48" s="26">
        <f t="shared" si="236"/>
        <v>24</v>
      </c>
      <c r="FV48" s="28">
        <f t="shared" si="189"/>
      </c>
      <c r="FW48" s="26">
        <f t="shared" si="249"/>
      </c>
      <c r="FX48" s="28">
        <f t="shared" si="237"/>
      </c>
      <c r="FY48" s="26">
        <f ca="1">IF(FX48&lt;&gt;"",RANK(FX48,FX$11:INDIRECT(FX$7,FALSE)),"")</f>
      </c>
      <c r="FZ48" s="26">
        <f t="shared" si="238"/>
      </c>
      <c r="GA48" s="26">
        <f t="shared" si="81"/>
      </c>
      <c r="GC48" s="27">
        <f t="shared" si="190"/>
      </c>
      <c r="GD48" s="27">
        <f t="shared" si="191"/>
      </c>
      <c r="GE48" s="27">
        <f t="shared" si="239"/>
      </c>
      <c r="GF48" s="27">
        <f t="shared" si="240"/>
      </c>
      <c r="GG48" s="27">
        <f t="shared" si="241"/>
        <v>0</v>
      </c>
      <c r="GH48" s="26">
        <f t="shared" si="242"/>
        <v>0</v>
      </c>
      <c r="GI48" s="26">
        <f t="shared" si="243"/>
        <v>0</v>
      </c>
      <c r="GJ48" s="26">
        <f t="shared" si="244"/>
        <v>0</v>
      </c>
      <c r="GK48" s="26">
        <f t="shared" si="245"/>
      </c>
      <c r="GL48" s="28">
        <f t="shared" si="246"/>
      </c>
      <c r="GM48" s="26">
        <f t="shared" si="247"/>
      </c>
    </row>
    <row r="49" spans="1:195" ht="12.75">
      <c r="A49" s="16">
        <f t="shared" si="248"/>
        <v>39</v>
      </c>
      <c r="B49" s="17"/>
      <c r="C49" s="18"/>
      <c r="D49" s="19"/>
      <c r="E49" s="18"/>
      <c r="F49" s="18"/>
      <c r="G49" s="148"/>
      <c r="H49" s="122">
        <f t="shared" si="192"/>
      </c>
      <c r="I49" s="30">
        <f t="shared" si="193"/>
      </c>
      <c r="J49" s="30">
        <f>AD49+AO49+BA49+BM49+BY49+CK49+CW49+DI49+DU49+EG49-(MIN(EZ49:FI49)*$EY$2)</f>
        <v>0</v>
      </c>
      <c r="K49" s="139">
        <f ca="1">IF(I49&lt;&gt;"",RANK(I49,J$11:INDIRECT(J$7,FALSE)),"")</f>
      </c>
      <c r="L49" s="102">
        <f t="shared" si="194"/>
      </c>
      <c r="M49" s="102">
        <f t="shared" si="195"/>
        <v>0</v>
      </c>
      <c r="N49" s="51">
        <f t="shared" si="160"/>
      </c>
      <c r="O49" s="150"/>
      <c r="P49" s="151">
        <f t="shared" si="38"/>
      </c>
      <c r="Q49" s="152"/>
      <c r="R49" s="153">
        <f t="shared" si="39"/>
      </c>
      <c r="S49" s="153">
        <f t="shared" si="40"/>
        <v>0</v>
      </c>
      <c r="T49" s="154">
        <f ca="1">IF(OR(O49&lt;&gt;"",Q49&lt;&gt;""),RANK(S49,S$11:INDIRECT(S$7,FALSE)),"")</f>
      </c>
      <c r="U49" s="155"/>
      <c r="V49" s="156"/>
      <c r="W49" s="156"/>
      <c r="X49" s="157"/>
      <c r="Y49" s="158"/>
      <c r="Z49" s="227"/>
      <c r="AA49" s="103">
        <f t="shared" si="196"/>
      </c>
      <c r="AB49" s="20"/>
      <c r="AC49" s="104">
        <f t="shared" si="197"/>
      </c>
      <c r="AD49" s="104">
        <f t="shared" si="198"/>
        <v>0</v>
      </c>
      <c r="AE49" s="105">
        <f ca="1">IF(OR(Z49&lt;&gt;"",AB49&lt;&gt;""),RANK(AD49,AD$11:INDIRECT(AD$7,FALSE)),"")</f>
      </c>
      <c r="AF49" s="106"/>
      <c r="AG49" s="107">
        <f t="shared" si="199"/>
      </c>
      <c r="AH49" s="107">
        <f t="shared" si="200"/>
        <v>0</v>
      </c>
      <c r="AI49" s="108">
        <f ca="1">IF(OR(Z49&lt;&gt;"",AB49&lt;&gt;""),RANK(AH49,AH$11:INDIRECT(AH$7,FALSE)),"")</f>
      </c>
      <c r="AJ49" s="109"/>
      <c r="AK49" s="4"/>
      <c r="AL49" s="103">
        <f t="shared" si="201"/>
      </c>
      <c r="AM49" s="20"/>
      <c r="AN49" s="104">
        <f t="shared" si="202"/>
      </c>
      <c r="AO49" s="104">
        <f t="shared" si="203"/>
        <v>0</v>
      </c>
      <c r="AP49" s="105">
        <f ca="1">IF(OR(AK49&lt;&gt;"",AM49&lt;&gt;""),RANK(AO49,AO$11:INDIRECT(AO$7,FALSE)),"")</f>
      </c>
      <c r="AQ49" s="106"/>
      <c r="AR49" s="107">
        <f t="shared" si="161"/>
      </c>
      <c r="AS49" s="110">
        <f>IF(AND($F$8&lt;3,AR49&lt;&gt;""),HLOOKUP(MATCH(EQ49,EZ49:FA49,0),Discards,1,FALSE),"")</f>
      </c>
      <c r="AT49" s="107">
        <f t="shared" si="162"/>
        <v>0</v>
      </c>
      <c r="AU49" s="108">
        <f ca="1">IF(OR(AK49&lt;&gt;"",AM49&lt;&gt;""),RANK(AT49,AT$11:INDIRECT(AT$7,FALSE)),"")</f>
      </c>
      <c r="AV49" s="109"/>
      <c r="AW49" s="4"/>
      <c r="AX49" s="103">
        <f t="shared" si="163"/>
      </c>
      <c r="AY49" s="20"/>
      <c r="AZ49" s="104">
        <f t="shared" si="204"/>
      </c>
      <c r="BA49" s="104">
        <f t="shared" si="205"/>
        <v>0</v>
      </c>
      <c r="BB49" s="105">
        <f ca="1">IF(OR(AW49&lt;&gt;"",AY49&lt;&gt;""),RANK(BA49,BA$11:INDIRECT(BA$7,FALSE)),"")</f>
      </c>
      <c r="BC49" s="106"/>
      <c r="BD49" s="107">
        <f t="shared" si="164"/>
      </c>
      <c r="BE49" s="110">
        <f>IF(AND($F$8&lt;4,BD49&lt;&gt;""),HLOOKUP(MATCH(ER49,EZ49:FB49,0),Discards,1,FALSE),"")</f>
      </c>
      <c r="BF49" s="107">
        <f t="shared" si="206"/>
        <v>0</v>
      </c>
      <c r="BG49" s="108">
        <f ca="1">IF(OR(AW49&lt;&gt;"",AY49&lt;&gt;""),RANK(BF49,BF$11:INDIRECT(BF$7,FALSE)),"")</f>
      </c>
      <c r="BH49" s="109"/>
      <c r="BI49" s="4"/>
      <c r="BJ49" s="103">
        <f t="shared" si="165"/>
      </c>
      <c r="BK49" s="20"/>
      <c r="BL49" s="104">
        <f t="shared" si="207"/>
      </c>
      <c r="BM49" s="104">
        <f t="shared" si="208"/>
        <v>0</v>
      </c>
      <c r="BN49" s="105">
        <f ca="1">IF(OR(BI49&lt;&gt;"",BK49&lt;&gt;""),RANK(BM49,BM$11:INDIRECT(BM$7,FALSE)),"")</f>
      </c>
      <c r="BO49" s="106"/>
      <c r="BP49" s="107">
        <f t="shared" si="166"/>
      </c>
      <c r="BQ49" s="110">
        <f>IF(AND($F$8&lt;5,BP49&lt;&gt;""),HLOOKUP(MATCH(ES49,EZ49:FC49,0),Discards,1,FALSE),"")</f>
      </c>
      <c r="BR49" s="107">
        <f t="shared" si="209"/>
        <v>0</v>
      </c>
      <c r="BS49" s="108">
        <f ca="1">IF(OR(BI49&lt;&gt;"",BK49&lt;&gt;""),RANK(BR49,BR$11:INDIRECT(BR$7,FALSE)),"")</f>
      </c>
      <c r="BT49" s="109"/>
      <c r="BU49" s="4"/>
      <c r="BV49" s="103">
        <f t="shared" si="167"/>
      </c>
      <c r="BW49" s="20"/>
      <c r="BX49" s="104">
        <f t="shared" si="210"/>
      </c>
      <c r="BY49" s="104">
        <f t="shared" si="211"/>
        <v>0</v>
      </c>
      <c r="BZ49" s="105">
        <f ca="1">IF(OR(BU49&lt;&gt;"",BW49&lt;&gt;""),RANK(BY49,BY$11:INDIRECT(BY$7,FALSE)),"")</f>
      </c>
      <c r="CA49" s="106"/>
      <c r="CB49" s="107">
        <f t="shared" si="168"/>
      </c>
      <c r="CC49" s="110">
        <f>IF(AND($F$8&lt;6,CB49&lt;&gt;""),HLOOKUP(MATCH(ET49,EZ49:FD49,0),Discards,1,FALSE),"")</f>
      </c>
      <c r="CD49" s="107">
        <f t="shared" si="212"/>
        <v>0</v>
      </c>
      <c r="CE49" s="108">
        <f ca="1">IF(OR(BU49&lt;&gt;"",BW49&lt;&gt;""),RANK(CD49,CD$11:INDIRECT(CD$7,FALSE)),"")</f>
      </c>
      <c r="CF49" s="109"/>
      <c r="CG49" s="4"/>
      <c r="CH49" s="103">
        <f t="shared" si="169"/>
      </c>
      <c r="CI49" s="20"/>
      <c r="CJ49" s="104">
        <f t="shared" si="213"/>
      </c>
      <c r="CK49" s="104">
        <f t="shared" si="214"/>
        <v>0</v>
      </c>
      <c r="CL49" s="105">
        <f ca="1">IF(OR(CG49&lt;&gt;"",CI49&lt;&gt;""),RANK(CK49,CK$11:INDIRECT(CK$7,FALSE)),"")</f>
      </c>
      <c r="CM49" s="106"/>
      <c r="CN49" s="107">
        <f t="shared" si="170"/>
      </c>
      <c r="CO49" s="110">
        <f>IF(AND($F$8&lt;7,CN49&lt;&gt;""),HLOOKUP(MATCH(EU49,EZ49:FE49,0),Discards,1,FALSE),"")</f>
      </c>
      <c r="CP49" s="107">
        <f t="shared" si="215"/>
        <v>0</v>
      </c>
      <c r="CQ49" s="108">
        <f ca="1">IF(OR(CG49&lt;&gt;"",CI49&lt;&gt;""),RANK(CP49,CP$11:INDIRECT(CP$7,FALSE)),"")</f>
      </c>
      <c r="CR49" s="109"/>
      <c r="CS49" s="4"/>
      <c r="CT49" s="103">
        <f t="shared" si="171"/>
      </c>
      <c r="CU49" s="20"/>
      <c r="CV49" s="104">
        <f t="shared" si="216"/>
      </c>
      <c r="CW49" s="104">
        <f t="shared" si="217"/>
        <v>0</v>
      </c>
      <c r="CX49" s="105">
        <f ca="1">IF(OR(CS49&lt;&gt;"",CU49&lt;&gt;""),RANK(CW49,CW$11:INDIRECT(CW$7,FALSE)),"")</f>
      </c>
      <c r="CY49" s="106"/>
      <c r="CZ49" s="107">
        <f t="shared" si="172"/>
      </c>
      <c r="DA49" s="110">
        <f>IF(AND($F$8&lt;8,CZ49&lt;&gt;""),HLOOKUP(MATCH(EV49,EZ49:FF49,0),Discards,1,FALSE),"")</f>
      </c>
      <c r="DB49" s="107">
        <f t="shared" si="218"/>
        <v>0</v>
      </c>
      <c r="DC49" s="108">
        <f ca="1">IF(OR(CS49&lt;&gt;"",CU49&lt;&gt;""),RANK(DB49,DB$11:INDIRECT(DB$7,FALSE)),"")</f>
      </c>
      <c r="DD49" s="109"/>
      <c r="DE49" s="4"/>
      <c r="DF49" s="103">
        <f t="shared" si="173"/>
      </c>
      <c r="DG49" s="20"/>
      <c r="DH49" s="104">
        <f t="shared" si="219"/>
      </c>
      <c r="DI49" s="104">
        <f t="shared" si="220"/>
        <v>0</v>
      </c>
      <c r="DJ49" s="105">
        <f ca="1">IF(OR(DE49&lt;&gt;"",DG49&lt;&gt;""),RANK(DI49,DI$11:INDIRECT(DI$7,FALSE)),"")</f>
      </c>
      <c r="DK49" s="106"/>
      <c r="DL49" s="107">
        <f t="shared" si="174"/>
      </c>
      <c r="DM49" s="110">
        <f>IF(AND($F$8&lt;9,DL49&lt;&gt;""),HLOOKUP(MATCH(EW49,EZ49:FG49,0),Discards,1,FALSE),"")</f>
      </c>
      <c r="DN49" s="107">
        <f t="shared" si="221"/>
        <v>0</v>
      </c>
      <c r="DO49" s="108">
        <f ca="1">IF(OR(DE49&lt;&gt;"",DG49&lt;&gt;""),RANK(DN49,DN$11:INDIRECT(DN$7,FALSE)),"")</f>
      </c>
      <c r="DP49" s="109"/>
      <c r="DQ49" s="4"/>
      <c r="DR49" s="103">
        <f t="shared" si="175"/>
      </c>
      <c r="DS49" s="20"/>
      <c r="DT49" s="104">
        <f t="shared" si="222"/>
      </c>
      <c r="DU49" s="104">
        <f t="shared" si="223"/>
        <v>0</v>
      </c>
      <c r="DV49" s="105">
        <f ca="1">IF(OR(DQ49&lt;&gt;"",DS49&lt;&gt;""),RANK(DU49,DU$11:INDIRECT(DU$7,FALSE)),"")</f>
      </c>
      <c r="DW49" s="106"/>
      <c r="DX49" s="107">
        <f t="shared" si="176"/>
      </c>
      <c r="DY49" s="110">
        <f>IF(AND($F$8&lt;10,DX49&lt;&gt;""),HLOOKUP(MATCH(EX49,EZ49:FH49,0),Discards,1,FALSE),"")</f>
      </c>
      <c r="DZ49" s="107">
        <f t="shared" si="224"/>
        <v>0</v>
      </c>
      <c r="EA49" s="108">
        <f ca="1">IF(OR(DQ49&lt;&gt;"",DS49&lt;&gt;""),RANK(DZ49,DZ$11:INDIRECT(DZ$7,FALSE)),"")</f>
      </c>
      <c r="EB49" s="109"/>
      <c r="EC49" s="4"/>
      <c r="ED49" s="103">
        <f t="shared" si="177"/>
      </c>
      <c r="EE49" s="20"/>
      <c r="EF49" s="104">
        <f t="shared" si="225"/>
      </c>
      <c r="EG49" s="104">
        <f t="shared" si="226"/>
        <v>0</v>
      </c>
      <c r="EH49" s="105">
        <f ca="1">IF(OR(EC49&lt;&gt;"",EE49&lt;&gt;""),RANK(EG49,EG$11:INDIRECT(EG$7,FALSE)),"")</f>
      </c>
      <c r="EI49" s="106"/>
      <c r="EJ49" s="107">
        <f t="shared" si="178"/>
      </c>
      <c r="EK49" s="110">
        <f>IF(AND($F$8&lt;11,EJ49&lt;&gt;""),HLOOKUP(MATCH(EY49,EZ49:FI49,0),Discards,1,FALSE),"")</f>
      </c>
      <c r="EL49" s="107">
        <f t="shared" si="227"/>
        <v>0</v>
      </c>
      <c r="EM49" s="108">
        <f ca="1">IF(OR(EC49&lt;&gt;"",EE49&lt;&gt;""),RANK(EL49,EL$11:INDIRECT(EL$7,FALSE)),"")</f>
      </c>
      <c r="EN49" s="111"/>
      <c r="EP49" s="112">
        <f t="shared" si="228"/>
        <v>0</v>
      </c>
      <c r="EQ49" s="28">
        <f>MIN($EZ49:FA49)</f>
        <v>0</v>
      </c>
      <c r="ER49" s="28">
        <f>MIN($EZ49:FB49)</f>
        <v>0</v>
      </c>
      <c r="ES49" s="28">
        <f>MIN($EZ49:FC49)</f>
        <v>0</v>
      </c>
      <c r="ET49" s="28">
        <f>MIN($EZ49:FD49)</f>
        <v>0</v>
      </c>
      <c r="EU49" s="28">
        <f>MIN($EZ49:FE49)</f>
        <v>0</v>
      </c>
      <c r="EV49" s="28">
        <f>MIN($EZ49:FF49)</f>
        <v>0</v>
      </c>
      <c r="EW49" s="28">
        <f>MIN($EZ49:FG49)</f>
        <v>0</v>
      </c>
      <c r="EX49" s="28">
        <f>MIN($EZ49:FH49)</f>
        <v>0</v>
      </c>
      <c r="EY49" s="28">
        <f>MIN($EZ49:FI49)</f>
        <v>0</v>
      </c>
      <c r="EZ49" s="28">
        <f t="shared" si="179"/>
      </c>
      <c r="FA49" s="28">
        <f t="shared" si="180"/>
      </c>
      <c r="FB49" s="28">
        <f t="shared" si="181"/>
      </c>
      <c r="FC49" s="28">
        <f t="shared" si="182"/>
      </c>
      <c r="FD49" s="28">
        <f t="shared" si="183"/>
      </c>
      <c r="FE49" s="28">
        <f t="shared" si="184"/>
      </c>
      <c r="FF49" s="28">
        <f t="shared" si="185"/>
      </c>
      <c r="FG49" s="28">
        <f t="shared" si="186"/>
      </c>
      <c r="FH49" s="28">
        <f t="shared" si="187"/>
      </c>
      <c r="FI49" s="28">
        <f t="shared" si="188"/>
      </c>
      <c r="FL49" s="26">
        <f t="shared" si="229"/>
        <v>255000000</v>
      </c>
      <c r="FM49" s="26">
        <f t="shared" si="230"/>
        <v>255000</v>
      </c>
      <c r="FN49" s="26">
        <f t="shared" si="231"/>
        <v>255</v>
      </c>
      <c r="FO49" s="26">
        <f>IF(C49&lt;&gt;"",SUM(FL49:FN49),0)</f>
        <v>0</v>
      </c>
      <c r="FP49" s="26">
        <f ca="1">IF(FO49&gt;0,SMALL($FO$11:INDIRECT($FO$7,FALSE),A49),0)</f>
        <v>0</v>
      </c>
      <c r="FQ49" s="26">
        <f t="shared" si="232"/>
        <v>0</v>
      </c>
      <c r="FR49" s="26">
        <f t="shared" si="233"/>
        <v>0</v>
      </c>
      <c r="FS49" s="26">
        <f t="shared" si="234"/>
        <v>0</v>
      </c>
      <c r="FT49" s="26">
        <f t="shared" si="235"/>
      </c>
      <c r="FU49" s="26">
        <f t="shared" si="236"/>
        <v>24</v>
      </c>
      <c r="FV49" s="28">
        <f t="shared" si="189"/>
      </c>
      <c r="FW49" s="26">
        <f t="shared" si="249"/>
      </c>
      <c r="FX49" s="28">
        <f t="shared" si="237"/>
      </c>
      <c r="FY49" s="26">
        <f ca="1">IF(FX49&lt;&gt;"",RANK(FX49,FX$11:INDIRECT(FX$7,FALSE)),"")</f>
      </c>
      <c r="FZ49" s="26">
        <f t="shared" si="238"/>
      </c>
      <c r="GA49" s="26">
        <f t="shared" si="81"/>
      </c>
      <c r="GC49" s="27">
        <f t="shared" si="190"/>
      </c>
      <c r="GD49" s="27">
        <f t="shared" si="191"/>
      </c>
      <c r="GE49" s="27">
        <f t="shared" si="239"/>
      </c>
      <c r="GF49" s="27">
        <f t="shared" si="240"/>
      </c>
      <c r="GG49" s="27">
        <f t="shared" si="241"/>
        <v>0</v>
      </c>
      <c r="GH49" s="26">
        <f t="shared" si="242"/>
        <v>0</v>
      </c>
      <c r="GI49" s="26">
        <f t="shared" si="243"/>
        <v>0</v>
      </c>
      <c r="GJ49" s="26">
        <f t="shared" si="244"/>
        <v>0</v>
      </c>
      <c r="GK49" s="26">
        <f t="shared" si="245"/>
      </c>
      <c r="GL49" s="28">
        <f t="shared" si="246"/>
      </c>
      <c r="GM49" s="26">
        <f t="shared" si="247"/>
      </c>
    </row>
    <row r="50" spans="1:195" ht="12.75">
      <c r="A50" s="132">
        <f t="shared" si="248"/>
        <v>40</v>
      </c>
      <c r="B50" s="133"/>
      <c r="C50" s="134"/>
      <c r="D50" s="135"/>
      <c r="E50" s="134"/>
      <c r="F50" s="134" t="s">
        <v>13</v>
      </c>
      <c r="G50" s="149"/>
      <c r="H50" s="136">
        <f t="shared" si="192"/>
      </c>
      <c r="I50" s="137">
        <f t="shared" si="193"/>
      </c>
      <c r="J50" s="137">
        <f>AD50+AO50+BA50+BM50+BY50+CK50+CW50+DI50+DU50+EG50-(MIN(EZ50:FI50)*$EY$2)</f>
        <v>0</v>
      </c>
      <c r="K50" s="140">
        <f ca="1">IF(I50&lt;&gt;"",RANK(I50,J$11:INDIRECT(J$7,FALSE)),"")</f>
      </c>
      <c r="L50" s="137">
        <f t="shared" si="194"/>
      </c>
      <c r="M50" s="137">
        <f t="shared" si="195"/>
        <v>0</v>
      </c>
      <c r="N50" s="138">
        <f t="shared" si="160"/>
      </c>
      <c r="O50" s="159"/>
      <c r="P50" s="160">
        <f t="shared" si="38"/>
      </c>
      <c r="Q50" s="161"/>
      <c r="R50" s="162">
        <f t="shared" si="39"/>
      </c>
      <c r="S50" s="162">
        <f t="shared" si="40"/>
        <v>0</v>
      </c>
      <c r="T50" s="163">
        <f ca="1">IF(OR(O50&lt;&gt;"",Q50&lt;&gt;""),RANK(S50,S$11:INDIRECT(S$7,FALSE)),"")</f>
      </c>
      <c r="U50" s="164"/>
      <c r="V50" s="165"/>
      <c r="W50" s="165"/>
      <c r="X50" s="166"/>
      <c r="Y50" s="167"/>
      <c r="Z50" s="228"/>
      <c r="AA50" s="113">
        <f t="shared" si="196"/>
      </c>
      <c r="AB50" s="21"/>
      <c r="AC50" s="114">
        <f t="shared" si="197"/>
      </c>
      <c r="AD50" s="114">
        <f t="shared" si="198"/>
        <v>0</v>
      </c>
      <c r="AE50" s="115">
        <f ca="1">IF(OR(Z50&lt;&gt;"",AB50&lt;&gt;""),RANK(AD50,AD$11:INDIRECT(AD$7,FALSE)),"")</f>
      </c>
      <c r="AF50" s="116"/>
      <c r="AG50" s="117">
        <f t="shared" si="199"/>
      </c>
      <c r="AH50" s="117">
        <f t="shared" si="200"/>
        <v>0</v>
      </c>
      <c r="AI50" s="118">
        <f ca="1">IF(OR(Z50&lt;&gt;"",AB50&lt;&gt;""),RANK(AH50,AH$11:INDIRECT(AH$7,FALSE)),"")</f>
      </c>
      <c r="AJ50" s="119"/>
      <c r="AK50" s="5"/>
      <c r="AL50" s="113">
        <f t="shared" si="201"/>
      </c>
      <c r="AM50" s="21"/>
      <c r="AN50" s="114">
        <f t="shared" si="202"/>
      </c>
      <c r="AO50" s="114">
        <f t="shared" si="203"/>
        <v>0</v>
      </c>
      <c r="AP50" s="115">
        <f ca="1">IF(OR(AK50&lt;&gt;"",AM50&lt;&gt;""),RANK(AO50,AO$11:INDIRECT(AO$7,FALSE)),"")</f>
      </c>
      <c r="AQ50" s="116"/>
      <c r="AR50" s="117">
        <f t="shared" si="161"/>
      </c>
      <c r="AS50" s="120">
        <f>IF(AND($F$8&lt;3,AR50&lt;&gt;""),HLOOKUP(MATCH(EQ50,EZ50:FA50,0),Discards,1,FALSE),"")</f>
      </c>
      <c r="AT50" s="117">
        <f t="shared" si="162"/>
        <v>0</v>
      </c>
      <c r="AU50" s="118">
        <f ca="1">IF(OR(AK50&lt;&gt;"",AM50&lt;&gt;""),RANK(AT50,AT$11:INDIRECT(AT$7,FALSE)),"")</f>
      </c>
      <c r="AV50" s="119"/>
      <c r="AW50" s="5"/>
      <c r="AX50" s="113">
        <f t="shared" si="163"/>
      </c>
      <c r="AY50" s="21"/>
      <c r="AZ50" s="114">
        <f t="shared" si="204"/>
      </c>
      <c r="BA50" s="114">
        <f t="shared" si="205"/>
        <v>0</v>
      </c>
      <c r="BB50" s="115">
        <f ca="1">IF(OR(AW50&lt;&gt;"",AY50&lt;&gt;""),RANK(BA50,BA$11:INDIRECT(BA$7,FALSE)),"")</f>
      </c>
      <c r="BC50" s="116"/>
      <c r="BD50" s="117">
        <f t="shared" si="164"/>
      </c>
      <c r="BE50" s="120">
        <f>IF(AND($F$8&lt;4,BD50&lt;&gt;""),HLOOKUP(MATCH(ER50,EZ50:FB50,0),Discards,1,FALSE),"")</f>
      </c>
      <c r="BF50" s="117">
        <f t="shared" si="206"/>
        <v>0</v>
      </c>
      <c r="BG50" s="118">
        <f ca="1">IF(OR(AW50&lt;&gt;"",AY50&lt;&gt;""),RANK(BF50,BF$11:INDIRECT(BF$7,FALSE)),"")</f>
      </c>
      <c r="BH50" s="119"/>
      <c r="BI50" s="5"/>
      <c r="BJ50" s="113">
        <f t="shared" si="165"/>
      </c>
      <c r="BK50" s="21"/>
      <c r="BL50" s="114">
        <f t="shared" si="207"/>
      </c>
      <c r="BM50" s="114">
        <f t="shared" si="208"/>
        <v>0</v>
      </c>
      <c r="BN50" s="115">
        <f ca="1">IF(OR(BI50&lt;&gt;"",BK50&lt;&gt;""),RANK(BM50,BM$11:INDIRECT(BM$7,FALSE)),"")</f>
      </c>
      <c r="BO50" s="116"/>
      <c r="BP50" s="117">
        <f t="shared" si="166"/>
      </c>
      <c r="BQ50" s="120">
        <f>IF(AND($F$8&lt;5,BP50&lt;&gt;""),HLOOKUP(MATCH(ES50,EZ50:FC50,0),Discards,1,FALSE),"")</f>
      </c>
      <c r="BR50" s="117">
        <f t="shared" si="209"/>
        <v>0</v>
      </c>
      <c r="BS50" s="118">
        <f ca="1">IF(OR(BI50&lt;&gt;"",BK50&lt;&gt;""),RANK(BR50,BR$11:INDIRECT(BR$7,FALSE)),"")</f>
      </c>
      <c r="BT50" s="119"/>
      <c r="BU50" s="5"/>
      <c r="BV50" s="113">
        <f t="shared" si="167"/>
      </c>
      <c r="BW50" s="21"/>
      <c r="BX50" s="114">
        <f t="shared" si="210"/>
      </c>
      <c r="BY50" s="114">
        <f t="shared" si="211"/>
        <v>0</v>
      </c>
      <c r="BZ50" s="115">
        <f ca="1">IF(OR(BU50&lt;&gt;"",BW50&lt;&gt;""),RANK(BY50,BY$11:INDIRECT(BY$7,FALSE)),"")</f>
      </c>
      <c r="CA50" s="116"/>
      <c r="CB50" s="117">
        <f t="shared" si="168"/>
      </c>
      <c r="CC50" s="120">
        <f>IF(AND($F$8&lt;6,CB50&lt;&gt;""),HLOOKUP(MATCH(ET50,EZ50:FD50,0),Discards,1,FALSE),"")</f>
      </c>
      <c r="CD50" s="117">
        <f t="shared" si="212"/>
        <v>0</v>
      </c>
      <c r="CE50" s="118">
        <f ca="1">IF(OR(BU50&lt;&gt;"",BW50&lt;&gt;""),RANK(CD50,CD$11:INDIRECT(CD$7,FALSE)),"")</f>
      </c>
      <c r="CF50" s="119"/>
      <c r="CG50" s="5"/>
      <c r="CH50" s="113">
        <f t="shared" si="169"/>
      </c>
      <c r="CI50" s="21"/>
      <c r="CJ50" s="114">
        <f t="shared" si="213"/>
      </c>
      <c r="CK50" s="114">
        <f t="shared" si="214"/>
        <v>0</v>
      </c>
      <c r="CL50" s="115">
        <f ca="1">IF(OR(CG50&lt;&gt;"",CI50&lt;&gt;""),RANK(CK50,CK$11:INDIRECT(CK$7,FALSE)),"")</f>
      </c>
      <c r="CM50" s="116"/>
      <c r="CN50" s="117">
        <f t="shared" si="170"/>
      </c>
      <c r="CO50" s="120">
        <f>IF(AND($F$8&lt;7,CN50&lt;&gt;""),HLOOKUP(MATCH(EU50,EZ50:FE50,0),Discards,1,FALSE),"")</f>
      </c>
      <c r="CP50" s="117">
        <f t="shared" si="215"/>
        <v>0</v>
      </c>
      <c r="CQ50" s="118">
        <f ca="1">IF(OR(CG50&lt;&gt;"",CI50&lt;&gt;""),RANK(CP50,CP$11:INDIRECT(CP$7,FALSE)),"")</f>
      </c>
      <c r="CR50" s="119"/>
      <c r="CS50" s="5"/>
      <c r="CT50" s="113">
        <f t="shared" si="171"/>
      </c>
      <c r="CU50" s="21"/>
      <c r="CV50" s="114">
        <f t="shared" si="216"/>
      </c>
      <c r="CW50" s="114">
        <f t="shared" si="217"/>
        <v>0</v>
      </c>
      <c r="CX50" s="115">
        <f ca="1">IF(OR(CS50&lt;&gt;"",CU50&lt;&gt;""),RANK(CW50,CW$11:INDIRECT(CW$7,FALSE)),"")</f>
      </c>
      <c r="CY50" s="116"/>
      <c r="CZ50" s="117">
        <f t="shared" si="172"/>
      </c>
      <c r="DA50" s="120">
        <f>IF(AND($F$8&lt;8,CZ50&lt;&gt;""),HLOOKUP(MATCH(EV50,EZ50:FF50,0),Discards,1,FALSE),"")</f>
      </c>
      <c r="DB50" s="117">
        <f t="shared" si="218"/>
        <v>0</v>
      </c>
      <c r="DC50" s="118">
        <f ca="1">IF(OR(CS50&lt;&gt;"",CU50&lt;&gt;""),RANK(DB50,DB$11:INDIRECT(DB$7,FALSE)),"")</f>
      </c>
      <c r="DD50" s="119"/>
      <c r="DE50" s="5"/>
      <c r="DF50" s="113">
        <f t="shared" si="173"/>
      </c>
      <c r="DG50" s="21"/>
      <c r="DH50" s="114">
        <f t="shared" si="219"/>
      </c>
      <c r="DI50" s="114">
        <f t="shared" si="220"/>
        <v>0</v>
      </c>
      <c r="DJ50" s="115">
        <f ca="1">IF(OR(DE50&lt;&gt;"",DG50&lt;&gt;""),RANK(DI50,DI$11:INDIRECT(DI$7,FALSE)),"")</f>
      </c>
      <c r="DK50" s="116"/>
      <c r="DL50" s="117">
        <f t="shared" si="174"/>
      </c>
      <c r="DM50" s="120">
        <f>IF(AND($F$8&lt;9,DL50&lt;&gt;""),HLOOKUP(MATCH(EW50,EZ50:FG50,0),Discards,1,FALSE),"")</f>
      </c>
      <c r="DN50" s="117">
        <f t="shared" si="221"/>
        <v>0</v>
      </c>
      <c r="DO50" s="118">
        <f ca="1">IF(OR(DE50&lt;&gt;"",DG50&lt;&gt;""),RANK(DN50,DN$11:INDIRECT(DN$7,FALSE)),"")</f>
      </c>
      <c r="DP50" s="119"/>
      <c r="DQ50" s="5"/>
      <c r="DR50" s="113">
        <f t="shared" si="175"/>
      </c>
      <c r="DS50" s="21"/>
      <c r="DT50" s="114">
        <f t="shared" si="222"/>
      </c>
      <c r="DU50" s="114">
        <f t="shared" si="223"/>
        <v>0</v>
      </c>
      <c r="DV50" s="115">
        <f ca="1">IF(OR(DQ50&lt;&gt;"",DS50&lt;&gt;""),RANK(DU50,DU$11:INDIRECT(DU$7,FALSE)),"")</f>
      </c>
      <c r="DW50" s="116"/>
      <c r="DX50" s="117">
        <f t="shared" si="176"/>
      </c>
      <c r="DY50" s="120">
        <f>IF(AND($F$8&lt;10,DX50&lt;&gt;""),HLOOKUP(MATCH(EX50,EZ50:FH50,0),Discards,1,FALSE),"")</f>
      </c>
      <c r="DZ50" s="117">
        <f t="shared" si="224"/>
        <v>0</v>
      </c>
      <c r="EA50" s="118">
        <f ca="1">IF(OR(DQ50&lt;&gt;"",DS50&lt;&gt;""),RANK(DZ50,DZ$11:INDIRECT(DZ$7,FALSE)),"")</f>
      </c>
      <c r="EB50" s="119"/>
      <c r="EC50" s="5"/>
      <c r="ED50" s="113">
        <f t="shared" si="177"/>
      </c>
      <c r="EE50" s="21"/>
      <c r="EF50" s="114">
        <f t="shared" si="225"/>
      </c>
      <c r="EG50" s="114">
        <f t="shared" si="226"/>
        <v>0</v>
      </c>
      <c r="EH50" s="115">
        <f ca="1">IF(OR(EC50&lt;&gt;"",EE50&lt;&gt;""),RANK(EG50,EG$11:INDIRECT(EG$7,FALSE)),"")</f>
      </c>
      <c r="EI50" s="116"/>
      <c r="EJ50" s="117">
        <f t="shared" si="178"/>
      </c>
      <c r="EK50" s="120">
        <f>IF(AND($F$8&lt;11,EJ50&lt;&gt;""),HLOOKUP(MATCH(EY50,EZ50:FI50,0),Discards,1,FALSE),"")</f>
      </c>
      <c r="EL50" s="117">
        <f t="shared" si="227"/>
        <v>0</v>
      </c>
      <c r="EM50" s="118">
        <f ca="1">IF(OR(EC50&lt;&gt;"",EE50&lt;&gt;""),RANK(EL50,EL$11:INDIRECT(EL$7,FALSE)),"")</f>
      </c>
      <c r="EN50" s="121"/>
      <c r="EP50" s="112">
        <f t="shared" si="228"/>
        <v>0</v>
      </c>
      <c r="EQ50" s="28">
        <f>MIN($EZ50:FA50)</f>
        <v>0</v>
      </c>
      <c r="ER50" s="28">
        <f>MIN($EZ50:FB50)</f>
        <v>0</v>
      </c>
      <c r="ES50" s="28">
        <f>MIN($EZ50:FC50)</f>
        <v>0</v>
      </c>
      <c r="ET50" s="28">
        <f>MIN($EZ50:FD50)</f>
        <v>0</v>
      </c>
      <c r="EU50" s="28">
        <f>MIN($EZ50:FE50)</f>
        <v>0</v>
      </c>
      <c r="EV50" s="28">
        <f>MIN($EZ50:FF50)</f>
        <v>0</v>
      </c>
      <c r="EW50" s="28">
        <f>MIN($EZ50:FG50)</f>
        <v>0</v>
      </c>
      <c r="EX50" s="28">
        <f>MIN($EZ50:FH50)</f>
        <v>0</v>
      </c>
      <c r="EY50" s="28">
        <f>MIN($EZ50:FI50)</f>
        <v>0</v>
      </c>
      <c r="EZ50" s="28">
        <f t="shared" si="179"/>
      </c>
      <c r="FA50" s="28">
        <f t="shared" si="180"/>
      </c>
      <c r="FB50" s="28">
        <f t="shared" si="181"/>
      </c>
      <c r="FC50" s="28">
        <f t="shared" si="182"/>
      </c>
      <c r="FD50" s="28">
        <f t="shared" si="183"/>
      </c>
      <c r="FE50" s="28">
        <f t="shared" si="184"/>
      </c>
      <c r="FF50" s="28">
        <f t="shared" si="185"/>
      </c>
      <c r="FG50" s="28">
        <f t="shared" si="186"/>
      </c>
      <c r="FH50" s="28">
        <f t="shared" si="187"/>
      </c>
      <c r="FI50" s="28">
        <f t="shared" si="188"/>
      </c>
      <c r="FL50" s="26">
        <f t="shared" si="229"/>
        <v>255000000</v>
      </c>
      <c r="FM50" s="26">
        <f t="shared" si="230"/>
        <v>255000</v>
      </c>
      <c r="FN50" s="26">
        <f t="shared" si="231"/>
        <v>255</v>
      </c>
      <c r="FO50" s="26">
        <f>IF(C50&lt;&gt;"",SUM(FL50:FN50),0)</f>
        <v>0</v>
      </c>
      <c r="FP50" s="26">
        <f ca="1">IF(FO50&gt;0,SMALL($FO$11:INDIRECT($FO$7,FALSE),A50),0)</f>
        <v>0</v>
      </c>
      <c r="FQ50" s="26">
        <f t="shared" si="232"/>
        <v>0</v>
      </c>
      <c r="FR50" s="26">
        <f t="shared" si="233"/>
        <v>0</v>
      </c>
      <c r="FS50" s="26">
        <f t="shared" si="234"/>
        <v>0</v>
      </c>
      <c r="FT50" s="26">
        <f t="shared" si="235"/>
      </c>
      <c r="FU50" s="26">
        <f t="shared" si="236"/>
        <v>24</v>
      </c>
      <c r="FV50" s="28">
        <f t="shared" si="189"/>
      </c>
      <c r="FW50" s="26">
        <f t="shared" si="249"/>
      </c>
      <c r="FX50" s="28">
        <f t="shared" si="237"/>
      </c>
      <c r="FY50" s="26">
        <f ca="1">IF(FX50&lt;&gt;"",RANK(FX50,FX$11:INDIRECT(FX$7,FALSE)),"")</f>
      </c>
      <c r="FZ50" s="26">
        <f t="shared" si="238"/>
      </c>
      <c r="GA50" s="26">
        <f t="shared" si="81"/>
      </c>
      <c r="GC50" s="27">
        <f t="shared" si="190"/>
      </c>
      <c r="GD50" s="27">
        <f t="shared" si="191"/>
      </c>
      <c r="GE50" s="27">
        <f t="shared" si="239"/>
      </c>
      <c r="GF50" s="27">
        <f t="shared" si="240"/>
      </c>
      <c r="GG50" s="27">
        <f t="shared" si="241"/>
        <v>0</v>
      </c>
      <c r="GH50" s="26">
        <f t="shared" si="242"/>
        <v>0</v>
      </c>
      <c r="GI50" s="26">
        <f t="shared" si="243"/>
        <v>0</v>
      </c>
      <c r="GJ50" s="26">
        <f t="shared" si="244"/>
        <v>0</v>
      </c>
      <c r="GK50" s="26">
        <f t="shared" si="245"/>
      </c>
      <c r="GL50" s="28">
        <f t="shared" si="246"/>
      </c>
      <c r="GM50" s="26">
        <f t="shared" si="247"/>
      </c>
    </row>
    <row r="51" spans="1:195" ht="12.75">
      <c r="A51" s="132">
        <f t="shared" si="248"/>
        <v>41</v>
      </c>
      <c r="B51" s="133"/>
      <c r="C51" s="134"/>
      <c r="D51" s="135"/>
      <c r="E51" s="134"/>
      <c r="F51" s="134" t="s">
        <v>13</v>
      </c>
      <c r="G51" s="149"/>
      <c r="H51" s="136">
        <f t="shared" si="192"/>
      </c>
      <c r="I51" s="137">
        <f t="shared" si="193"/>
      </c>
      <c r="J51" s="137">
        <f>AD51+AO51+BA51+BM51+BY51+CK51+CW51+DI51+DU51+EG51-(MIN(EZ51:FI51)*$EY$2)</f>
        <v>0</v>
      </c>
      <c r="K51" s="140">
        <f ca="1">IF(I51&lt;&gt;"",RANK(I51,J$11:INDIRECT(J$7,FALSE)),"")</f>
      </c>
      <c r="L51" s="137">
        <f t="shared" si="194"/>
      </c>
      <c r="M51" s="137">
        <f t="shared" si="195"/>
        <v>0</v>
      </c>
      <c r="N51" s="138">
        <f t="shared" si="160"/>
      </c>
      <c r="O51" s="159"/>
      <c r="P51" s="160">
        <f t="shared" si="38"/>
      </c>
      <c r="Q51" s="161"/>
      <c r="R51" s="162">
        <f t="shared" si="39"/>
      </c>
      <c r="S51" s="162">
        <f t="shared" si="40"/>
        <v>0</v>
      </c>
      <c r="T51" s="163">
        <f ca="1">IF(OR(O51&lt;&gt;"",Q51&lt;&gt;""),RANK(S51,S$11:INDIRECT(S$7,FALSE)),"")</f>
      </c>
      <c r="U51" s="164"/>
      <c r="V51" s="165"/>
      <c r="W51" s="165"/>
      <c r="X51" s="166"/>
      <c r="Y51" s="167"/>
      <c r="Z51" s="228"/>
      <c r="AA51" s="113">
        <f t="shared" si="196"/>
      </c>
      <c r="AB51" s="21"/>
      <c r="AC51" s="114">
        <f t="shared" si="197"/>
      </c>
      <c r="AD51" s="114">
        <f t="shared" si="198"/>
        <v>0</v>
      </c>
      <c r="AE51" s="115">
        <f ca="1">IF(OR(Z51&lt;&gt;"",AB51&lt;&gt;""),RANK(AD51,AD$11:INDIRECT(AD$7,FALSE)),"")</f>
      </c>
      <c r="AF51" s="116"/>
      <c r="AG51" s="117">
        <f t="shared" si="199"/>
      </c>
      <c r="AH51" s="117">
        <f t="shared" si="200"/>
        <v>0</v>
      </c>
      <c r="AI51" s="118">
        <f ca="1">IF(OR(Z51&lt;&gt;"",AB51&lt;&gt;""),RANK(AH51,AH$11:INDIRECT(AH$7,FALSE)),"")</f>
      </c>
      <c r="AJ51" s="119"/>
      <c r="AK51" s="5"/>
      <c r="AL51" s="113">
        <f t="shared" si="201"/>
      </c>
      <c r="AM51" s="21"/>
      <c r="AN51" s="114">
        <f t="shared" si="202"/>
      </c>
      <c r="AO51" s="114">
        <f t="shared" si="203"/>
        <v>0</v>
      </c>
      <c r="AP51" s="115">
        <f ca="1">IF(OR(AK51&lt;&gt;"",AM51&lt;&gt;""),RANK(AO51,AO$11:INDIRECT(AO$7,FALSE)),"")</f>
      </c>
      <c r="AQ51" s="116"/>
      <c r="AR51" s="117">
        <f t="shared" si="161"/>
      </c>
      <c r="AS51" s="120">
        <f>IF(AND($F$8&lt;3,AR51&lt;&gt;""),HLOOKUP(MATCH(EQ51,EZ51:FA51,0),Discards,1,FALSE),"")</f>
      </c>
      <c r="AT51" s="117">
        <f t="shared" si="162"/>
        <v>0</v>
      </c>
      <c r="AU51" s="118">
        <f ca="1">IF(OR(AK51&lt;&gt;"",AM51&lt;&gt;""),RANK(AT51,AT$11:INDIRECT(AT$7,FALSE)),"")</f>
      </c>
      <c r="AV51" s="119"/>
      <c r="AW51" s="5"/>
      <c r="AX51" s="113">
        <f t="shared" si="163"/>
      </c>
      <c r="AY51" s="21"/>
      <c r="AZ51" s="114">
        <f t="shared" si="204"/>
      </c>
      <c r="BA51" s="114">
        <f t="shared" si="205"/>
        <v>0</v>
      </c>
      <c r="BB51" s="115">
        <f ca="1">IF(OR(AW51&lt;&gt;"",AY51&lt;&gt;""),RANK(BA51,BA$11:INDIRECT(BA$7,FALSE)),"")</f>
      </c>
      <c r="BC51" s="116"/>
      <c r="BD51" s="117">
        <f t="shared" si="164"/>
      </c>
      <c r="BE51" s="120">
        <f>IF(AND($F$8&lt;4,BD51&lt;&gt;""),HLOOKUP(MATCH(ER51,EZ51:FB51,0),Discards,1,FALSE),"")</f>
      </c>
      <c r="BF51" s="117">
        <f t="shared" si="206"/>
        <v>0</v>
      </c>
      <c r="BG51" s="118">
        <f ca="1">IF(OR(AW51&lt;&gt;"",AY51&lt;&gt;""),RANK(BF51,BF$11:INDIRECT(BF$7,FALSE)),"")</f>
      </c>
      <c r="BH51" s="119"/>
      <c r="BI51" s="5"/>
      <c r="BJ51" s="113">
        <f t="shared" si="165"/>
      </c>
      <c r="BK51" s="21"/>
      <c r="BL51" s="114">
        <f t="shared" si="207"/>
      </c>
      <c r="BM51" s="114">
        <f t="shared" si="208"/>
        <v>0</v>
      </c>
      <c r="BN51" s="115">
        <f ca="1">IF(OR(BI51&lt;&gt;"",BK51&lt;&gt;""),RANK(BM51,BM$11:INDIRECT(BM$7,FALSE)),"")</f>
      </c>
      <c r="BO51" s="116"/>
      <c r="BP51" s="117">
        <f t="shared" si="166"/>
      </c>
      <c r="BQ51" s="120">
        <f>IF(AND($F$8&lt;5,BP51&lt;&gt;""),HLOOKUP(MATCH(ES51,EZ51:FC51,0),Discards,1,FALSE),"")</f>
      </c>
      <c r="BR51" s="117">
        <f t="shared" si="209"/>
        <v>0</v>
      </c>
      <c r="BS51" s="118">
        <f ca="1">IF(OR(BI51&lt;&gt;"",BK51&lt;&gt;""),RANK(BR51,BR$11:INDIRECT(BR$7,FALSE)),"")</f>
      </c>
      <c r="BT51" s="119"/>
      <c r="BU51" s="5"/>
      <c r="BV51" s="113">
        <f t="shared" si="167"/>
      </c>
      <c r="BW51" s="21"/>
      <c r="BX51" s="114">
        <f t="shared" si="210"/>
      </c>
      <c r="BY51" s="114">
        <f t="shared" si="211"/>
        <v>0</v>
      </c>
      <c r="BZ51" s="115">
        <f ca="1">IF(OR(BU51&lt;&gt;"",BW51&lt;&gt;""),RANK(BY51,BY$11:INDIRECT(BY$7,FALSE)),"")</f>
      </c>
      <c r="CA51" s="116"/>
      <c r="CB51" s="117">
        <f t="shared" si="168"/>
      </c>
      <c r="CC51" s="120">
        <f>IF(AND($F$8&lt;6,CB51&lt;&gt;""),HLOOKUP(MATCH(ET51,EZ51:FD51,0),Discards,1,FALSE),"")</f>
      </c>
      <c r="CD51" s="117">
        <f t="shared" si="212"/>
        <v>0</v>
      </c>
      <c r="CE51" s="118">
        <f ca="1">IF(OR(BU51&lt;&gt;"",BW51&lt;&gt;""),RANK(CD51,CD$11:INDIRECT(CD$7,FALSE)),"")</f>
      </c>
      <c r="CF51" s="119"/>
      <c r="CG51" s="5"/>
      <c r="CH51" s="113">
        <f t="shared" si="169"/>
      </c>
      <c r="CI51" s="21"/>
      <c r="CJ51" s="114">
        <f t="shared" si="213"/>
      </c>
      <c r="CK51" s="114">
        <f t="shared" si="214"/>
        <v>0</v>
      </c>
      <c r="CL51" s="115">
        <f ca="1">IF(OR(CG51&lt;&gt;"",CI51&lt;&gt;""),RANK(CK51,CK$11:INDIRECT(CK$7,FALSE)),"")</f>
      </c>
      <c r="CM51" s="116"/>
      <c r="CN51" s="117">
        <f t="shared" si="170"/>
      </c>
      <c r="CO51" s="120">
        <f>IF(AND($F$8&lt;7,CN51&lt;&gt;""),HLOOKUP(MATCH(EU51,EZ51:FE51,0),Discards,1,FALSE),"")</f>
      </c>
      <c r="CP51" s="117">
        <f t="shared" si="215"/>
        <v>0</v>
      </c>
      <c r="CQ51" s="118">
        <f ca="1">IF(OR(CG51&lt;&gt;"",CI51&lt;&gt;""),RANK(CP51,CP$11:INDIRECT(CP$7,FALSE)),"")</f>
      </c>
      <c r="CR51" s="119"/>
      <c r="CS51" s="5"/>
      <c r="CT51" s="113">
        <f t="shared" si="171"/>
      </c>
      <c r="CU51" s="21"/>
      <c r="CV51" s="114">
        <f t="shared" si="216"/>
      </c>
      <c r="CW51" s="114">
        <f t="shared" si="217"/>
        <v>0</v>
      </c>
      <c r="CX51" s="115">
        <f ca="1">IF(OR(CS51&lt;&gt;"",CU51&lt;&gt;""),RANK(CW51,CW$11:INDIRECT(CW$7,FALSE)),"")</f>
      </c>
      <c r="CY51" s="116"/>
      <c r="CZ51" s="117">
        <f t="shared" si="172"/>
      </c>
      <c r="DA51" s="120">
        <f>IF(AND($F$8&lt;8,CZ51&lt;&gt;""),HLOOKUP(MATCH(EV51,EZ51:FF51,0),Discards,1,FALSE),"")</f>
      </c>
      <c r="DB51" s="117">
        <f t="shared" si="218"/>
        <v>0</v>
      </c>
      <c r="DC51" s="118">
        <f ca="1">IF(OR(CS51&lt;&gt;"",CU51&lt;&gt;""),RANK(DB51,DB$11:INDIRECT(DB$7,FALSE)),"")</f>
      </c>
      <c r="DD51" s="119"/>
      <c r="DE51" s="5"/>
      <c r="DF51" s="113">
        <f t="shared" si="173"/>
      </c>
      <c r="DG51" s="21"/>
      <c r="DH51" s="114">
        <f t="shared" si="219"/>
      </c>
      <c r="DI51" s="114">
        <f t="shared" si="220"/>
        <v>0</v>
      </c>
      <c r="DJ51" s="115">
        <f ca="1">IF(OR(DE51&lt;&gt;"",DG51&lt;&gt;""),RANK(DI51,DI$11:INDIRECT(DI$7,FALSE)),"")</f>
      </c>
      <c r="DK51" s="116"/>
      <c r="DL51" s="117">
        <f t="shared" si="174"/>
      </c>
      <c r="DM51" s="120">
        <f>IF(AND($F$8&lt;9,DL51&lt;&gt;""),HLOOKUP(MATCH(EW51,EZ51:FG51,0),Discards,1,FALSE),"")</f>
      </c>
      <c r="DN51" s="117">
        <f t="shared" si="221"/>
        <v>0</v>
      </c>
      <c r="DO51" s="118">
        <f ca="1">IF(OR(DE51&lt;&gt;"",DG51&lt;&gt;""),RANK(DN51,DN$11:INDIRECT(DN$7,FALSE)),"")</f>
      </c>
      <c r="DP51" s="119"/>
      <c r="DQ51" s="5"/>
      <c r="DR51" s="113">
        <f t="shared" si="175"/>
      </c>
      <c r="DS51" s="21"/>
      <c r="DT51" s="114">
        <f t="shared" si="222"/>
      </c>
      <c r="DU51" s="114">
        <f t="shared" si="223"/>
        <v>0</v>
      </c>
      <c r="DV51" s="115">
        <f ca="1">IF(OR(DQ51&lt;&gt;"",DS51&lt;&gt;""),RANK(DU51,DU$11:INDIRECT(DU$7,FALSE)),"")</f>
      </c>
      <c r="DW51" s="116"/>
      <c r="DX51" s="117">
        <f t="shared" si="176"/>
      </c>
      <c r="DY51" s="120">
        <f>IF(AND($F$8&lt;10,DX51&lt;&gt;""),HLOOKUP(MATCH(EX51,EZ51:FH51,0),Discards,1,FALSE),"")</f>
      </c>
      <c r="DZ51" s="117">
        <f t="shared" si="224"/>
        <v>0</v>
      </c>
      <c r="EA51" s="118">
        <f ca="1">IF(OR(DQ51&lt;&gt;"",DS51&lt;&gt;""),RANK(DZ51,DZ$11:INDIRECT(DZ$7,FALSE)),"")</f>
      </c>
      <c r="EB51" s="119"/>
      <c r="EC51" s="5"/>
      <c r="ED51" s="113">
        <f t="shared" si="177"/>
      </c>
      <c r="EE51" s="21"/>
      <c r="EF51" s="114">
        <f t="shared" si="225"/>
      </c>
      <c r="EG51" s="114">
        <f t="shared" si="226"/>
        <v>0</v>
      </c>
      <c r="EH51" s="115">
        <f ca="1">IF(OR(EC51&lt;&gt;"",EE51&lt;&gt;""),RANK(EG51,EG$11:INDIRECT(EG$7,FALSE)),"")</f>
      </c>
      <c r="EI51" s="116"/>
      <c r="EJ51" s="117">
        <f t="shared" si="178"/>
      </c>
      <c r="EK51" s="120">
        <f>IF(AND($F$8&lt;11,EJ51&lt;&gt;""),HLOOKUP(MATCH(EY51,EZ51:FI51,0),Discards,1,FALSE),"")</f>
      </c>
      <c r="EL51" s="117">
        <f t="shared" si="227"/>
        <v>0</v>
      </c>
      <c r="EM51" s="118">
        <f ca="1">IF(OR(EC51&lt;&gt;"",EE51&lt;&gt;""),RANK(EL51,EL$11:INDIRECT(EL$7,FALSE)),"")</f>
      </c>
      <c r="EN51" s="121"/>
      <c r="EP51" s="112">
        <f t="shared" si="228"/>
        <v>0</v>
      </c>
      <c r="EQ51" s="28">
        <f>MIN($EZ51:FA51)</f>
        <v>0</v>
      </c>
      <c r="ER51" s="28">
        <f>MIN($EZ51:FB51)</f>
        <v>0</v>
      </c>
      <c r="ES51" s="28">
        <f>MIN($EZ51:FC51)</f>
        <v>0</v>
      </c>
      <c r="ET51" s="28">
        <f>MIN($EZ51:FD51)</f>
        <v>0</v>
      </c>
      <c r="EU51" s="28">
        <f>MIN($EZ51:FE51)</f>
        <v>0</v>
      </c>
      <c r="EV51" s="28">
        <f>MIN($EZ51:FF51)</f>
        <v>0</v>
      </c>
      <c r="EW51" s="28">
        <f>MIN($EZ51:FG51)</f>
        <v>0</v>
      </c>
      <c r="EX51" s="28">
        <f>MIN($EZ51:FH51)</f>
        <v>0</v>
      </c>
      <c r="EY51" s="28">
        <f>MIN($EZ51:FI51)</f>
        <v>0</v>
      </c>
      <c r="EZ51" s="28">
        <f t="shared" si="179"/>
      </c>
      <c r="FA51" s="28">
        <f t="shared" si="180"/>
      </c>
      <c r="FB51" s="28">
        <f t="shared" si="181"/>
      </c>
      <c r="FC51" s="28">
        <f t="shared" si="182"/>
      </c>
      <c r="FD51" s="28">
        <f t="shared" si="183"/>
      </c>
      <c r="FE51" s="28">
        <f t="shared" si="184"/>
      </c>
      <c r="FF51" s="28">
        <f t="shared" si="185"/>
      </c>
      <c r="FG51" s="28">
        <f t="shared" si="186"/>
      </c>
      <c r="FH51" s="28">
        <f t="shared" si="187"/>
      </c>
      <c r="FI51" s="28">
        <f t="shared" si="188"/>
      </c>
      <c r="FL51" s="26">
        <f t="shared" si="229"/>
        <v>255000000</v>
      </c>
      <c r="FM51" s="26">
        <f t="shared" si="230"/>
        <v>255000</v>
      </c>
      <c r="FN51" s="26">
        <f t="shared" si="231"/>
        <v>255</v>
      </c>
      <c r="FO51" s="26">
        <f>IF(C51&lt;&gt;"",SUM(FL51:FN51),0)</f>
        <v>0</v>
      </c>
      <c r="FP51" s="26">
        <f ca="1">IF(FO51&gt;0,SMALL($FO$11:INDIRECT($FO$7,FALSE),A51),0)</f>
        <v>0</v>
      </c>
      <c r="FQ51" s="26">
        <f t="shared" si="232"/>
        <v>0</v>
      </c>
      <c r="FR51" s="26">
        <f t="shared" si="233"/>
        <v>0</v>
      </c>
      <c r="FS51" s="26">
        <f t="shared" si="234"/>
        <v>0</v>
      </c>
      <c r="FT51" s="26">
        <f t="shared" si="235"/>
      </c>
      <c r="FU51" s="26">
        <f t="shared" si="236"/>
        <v>24</v>
      </c>
      <c r="FV51" s="28">
        <f t="shared" si="189"/>
      </c>
      <c r="FW51" s="26">
        <f t="shared" si="249"/>
      </c>
      <c r="FX51" s="28">
        <f t="shared" si="237"/>
      </c>
      <c r="FY51" s="26">
        <f ca="1">IF(FX51&lt;&gt;"",RANK(FX51,FX$11:INDIRECT(FX$7,FALSE)),"")</f>
      </c>
      <c r="FZ51" s="26">
        <f t="shared" si="238"/>
      </c>
      <c r="GA51" s="26">
        <f t="shared" si="81"/>
      </c>
      <c r="GC51" s="27">
        <f t="shared" si="190"/>
      </c>
      <c r="GD51" s="27">
        <f t="shared" si="191"/>
      </c>
      <c r="GE51" s="27">
        <f t="shared" si="239"/>
      </c>
      <c r="GF51" s="27">
        <f t="shared" si="240"/>
      </c>
      <c r="GG51" s="27">
        <f t="shared" si="241"/>
        <v>0</v>
      </c>
      <c r="GH51" s="26">
        <f t="shared" si="242"/>
        <v>0</v>
      </c>
      <c r="GI51" s="26">
        <f t="shared" si="243"/>
        <v>0</v>
      </c>
      <c r="GJ51" s="26">
        <f t="shared" si="244"/>
        <v>0</v>
      </c>
      <c r="GK51" s="26">
        <f t="shared" si="245"/>
      </c>
      <c r="GL51" s="28">
        <f t="shared" si="246"/>
      </c>
      <c r="GM51" s="26">
        <f t="shared" si="247"/>
      </c>
    </row>
    <row r="52" spans="1:195" ht="12.75">
      <c r="A52" s="132">
        <f t="shared" si="248"/>
        <v>42</v>
      </c>
      <c r="B52" s="133"/>
      <c r="C52" s="134"/>
      <c r="D52" s="135"/>
      <c r="E52" s="134"/>
      <c r="F52" s="134" t="s">
        <v>13</v>
      </c>
      <c r="G52" s="149"/>
      <c r="H52" s="136">
        <f t="shared" si="192"/>
      </c>
      <c r="I52" s="137">
        <f t="shared" si="193"/>
      </c>
      <c r="J52" s="137">
        <f>AD52+AO52+BA52+BM52+BY52+CK52+CW52+DI52+DU52+EG52-(MIN(EZ52:FI52)*$EY$2)</f>
        <v>0</v>
      </c>
      <c r="K52" s="140">
        <f ca="1">IF(I52&lt;&gt;"",RANK(I52,J$11:INDIRECT(J$7,FALSE)),"")</f>
      </c>
      <c r="L52" s="137">
        <f t="shared" si="194"/>
      </c>
      <c r="M52" s="137">
        <f t="shared" si="195"/>
        <v>0</v>
      </c>
      <c r="N52" s="138">
        <f t="shared" si="160"/>
      </c>
      <c r="O52" s="159"/>
      <c r="P52" s="160">
        <f t="shared" si="38"/>
      </c>
      <c r="Q52" s="161"/>
      <c r="R52" s="162">
        <f t="shared" si="39"/>
      </c>
      <c r="S52" s="162">
        <f t="shared" si="40"/>
        <v>0</v>
      </c>
      <c r="T52" s="163">
        <f ca="1">IF(OR(O52&lt;&gt;"",Q52&lt;&gt;""),RANK(S52,S$11:INDIRECT(S$7,FALSE)),"")</f>
      </c>
      <c r="U52" s="164"/>
      <c r="V52" s="165"/>
      <c r="W52" s="165"/>
      <c r="X52" s="166"/>
      <c r="Y52" s="167"/>
      <c r="Z52" s="228"/>
      <c r="AA52" s="113">
        <f t="shared" si="196"/>
      </c>
      <c r="AB52" s="21"/>
      <c r="AC52" s="114">
        <f t="shared" si="197"/>
      </c>
      <c r="AD52" s="114">
        <f t="shared" si="198"/>
        <v>0</v>
      </c>
      <c r="AE52" s="115">
        <f ca="1">IF(OR(Z52&lt;&gt;"",AB52&lt;&gt;""),RANK(AD52,AD$11:INDIRECT(AD$7,FALSE)),"")</f>
      </c>
      <c r="AF52" s="116"/>
      <c r="AG52" s="117">
        <f t="shared" si="199"/>
      </c>
      <c r="AH52" s="117">
        <f t="shared" si="200"/>
        <v>0</v>
      </c>
      <c r="AI52" s="118">
        <f ca="1">IF(OR(Z52&lt;&gt;"",AB52&lt;&gt;""),RANK(AH52,AH$11:INDIRECT(AH$7,FALSE)),"")</f>
      </c>
      <c r="AJ52" s="119"/>
      <c r="AK52" s="5"/>
      <c r="AL52" s="113">
        <f t="shared" si="201"/>
      </c>
      <c r="AM52" s="21"/>
      <c r="AN52" s="114">
        <f t="shared" si="202"/>
      </c>
      <c r="AO52" s="114">
        <f t="shared" si="203"/>
        <v>0</v>
      </c>
      <c r="AP52" s="115">
        <f ca="1">IF(OR(AK52&lt;&gt;"",AM52&lt;&gt;""),RANK(AO52,AO$11:INDIRECT(AO$7,FALSE)),"")</f>
      </c>
      <c r="AQ52" s="116"/>
      <c r="AR52" s="117">
        <f t="shared" si="161"/>
      </c>
      <c r="AS52" s="120">
        <f>IF(AND($F$8&lt;3,AR52&lt;&gt;""),HLOOKUP(MATCH(EQ52,EZ52:FA52,0),Discards,1,FALSE),"")</f>
      </c>
      <c r="AT52" s="117">
        <f t="shared" si="162"/>
        <v>0</v>
      </c>
      <c r="AU52" s="118">
        <f ca="1">IF(OR(AK52&lt;&gt;"",AM52&lt;&gt;""),RANK(AT52,AT$11:INDIRECT(AT$7,FALSE)),"")</f>
      </c>
      <c r="AV52" s="119"/>
      <c r="AW52" s="5"/>
      <c r="AX52" s="113">
        <f t="shared" si="163"/>
      </c>
      <c r="AY52" s="21"/>
      <c r="AZ52" s="114">
        <f t="shared" si="204"/>
      </c>
      <c r="BA52" s="114">
        <f t="shared" si="205"/>
        <v>0</v>
      </c>
      <c r="BB52" s="115">
        <f ca="1">IF(OR(AW52&lt;&gt;"",AY52&lt;&gt;""),RANK(BA52,BA$11:INDIRECT(BA$7,FALSE)),"")</f>
      </c>
      <c r="BC52" s="116"/>
      <c r="BD52" s="117">
        <f t="shared" si="164"/>
      </c>
      <c r="BE52" s="120">
        <f>IF(AND($F$8&lt;4,BD52&lt;&gt;""),HLOOKUP(MATCH(ER52,EZ52:FB52,0),Discards,1,FALSE),"")</f>
      </c>
      <c r="BF52" s="117">
        <f t="shared" si="206"/>
        <v>0</v>
      </c>
      <c r="BG52" s="118">
        <f ca="1">IF(OR(AW52&lt;&gt;"",AY52&lt;&gt;""),RANK(BF52,BF$11:INDIRECT(BF$7,FALSE)),"")</f>
      </c>
      <c r="BH52" s="119"/>
      <c r="BI52" s="5"/>
      <c r="BJ52" s="113">
        <f t="shared" si="165"/>
      </c>
      <c r="BK52" s="21"/>
      <c r="BL52" s="114">
        <f t="shared" si="207"/>
      </c>
      <c r="BM52" s="114">
        <f t="shared" si="208"/>
        <v>0</v>
      </c>
      <c r="BN52" s="115">
        <f ca="1">IF(OR(BI52&lt;&gt;"",BK52&lt;&gt;""),RANK(BM52,BM$11:INDIRECT(BM$7,FALSE)),"")</f>
      </c>
      <c r="BO52" s="116"/>
      <c r="BP52" s="117">
        <f t="shared" si="166"/>
      </c>
      <c r="BQ52" s="120">
        <f>IF(AND($F$8&lt;5,BP52&lt;&gt;""),HLOOKUP(MATCH(ES52,EZ52:FC52,0),Discards,1,FALSE),"")</f>
      </c>
      <c r="BR52" s="117">
        <f t="shared" si="209"/>
        <v>0</v>
      </c>
      <c r="BS52" s="118">
        <f ca="1">IF(OR(BI52&lt;&gt;"",BK52&lt;&gt;""),RANK(BR52,BR$11:INDIRECT(BR$7,FALSE)),"")</f>
      </c>
      <c r="BT52" s="119"/>
      <c r="BU52" s="5"/>
      <c r="BV52" s="113">
        <f t="shared" si="167"/>
      </c>
      <c r="BW52" s="21"/>
      <c r="BX52" s="114">
        <f t="shared" si="210"/>
      </c>
      <c r="BY52" s="114">
        <f t="shared" si="211"/>
        <v>0</v>
      </c>
      <c r="BZ52" s="115">
        <f ca="1">IF(OR(BU52&lt;&gt;"",BW52&lt;&gt;""),RANK(BY52,BY$11:INDIRECT(BY$7,FALSE)),"")</f>
      </c>
      <c r="CA52" s="116"/>
      <c r="CB52" s="117">
        <f t="shared" si="168"/>
      </c>
      <c r="CC52" s="120">
        <f>IF(AND($F$8&lt;6,CB52&lt;&gt;""),HLOOKUP(MATCH(ET52,EZ52:FD52,0),Discards,1,FALSE),"")</f>
      </c>
      <c r="CD52" s="117">
        <f t="shared" si="212"/>
        <v>0</v>
      </c>
      <c r="CE52" s="118">
        <f ca="1">IF(OR(BU52&lt;&gt;"",BW52&lt;&gt;""),RANK(CD52,CD$11:INDIRECT(CD$7,FALSE)),"")</f>
      </c>
      <c r="CF52" s="119"/>
      <c r="CG52" s="5"/>
      <c r="CH52" s="113">
        <f t="shared" si="169"/>
      </c>
      <c r="CI52" s="21"/>
      <c r="CJ52" s="114">
        <f t="shared" si="213"/>
      </c>
      <c r="CK52" s="114">
        <f t="shared" si="214"/>
        <v>0</v>
      </c>
      <c r="CL52" s="115">
        <f ca="1">IF(OR(CG52&lt;&gt;"",CI52&lt;&gt;""),RANK(CK52,CK$11:INDIRECT(CK$7,FALSE)),"")</f>
      </c>
      <c r="CM52" s="116"/>
      <c r="CN52" s="117">
        <f t="shared" si="170"/>
      </c>
      <c r="CO52" s="120">
        <f>IF(AND($F$8&lt;7,CN52&lt;&gt;""),HLOOKUP(MATCH(EU52,EZ52:FE52,0),Discards,1,FALSE),"")</f>
      </c>
      <c r="CP52" s="117">
        <f t="shared" si="215"/>
        <v>0</v>
      </c>
      <c r="CQ52" s="118">
        <f ca="1">IF(OR(CG52&lt;&gt;"",CI52&lt;&gt;""),RANK(CP52,CP$11:INDIRECT(CP$7,FALSE)),"")</f>
      </c>
      <c r="CR52" s="119"/>
      <c r="CS52" s="5"/>
      <c r="CT52" s="113">
        <f t="shared" si="171"/>
      </c>
      <c r="CU52" s="21"/>
      <c r="CV52" s="114">
        <f t="shared" si="216"/>
      </c>
      <c r="CW52" s="114">
        <f t="shared" si="217"/>
        <v>0</v>
      </c>
      <c r="CX52" s="115">
        <f ca="1">IF(OR(CS52&lt;&gt;"",CU52&lt;&gt;""),RANK(CW52,CW$11:INDIRECT(CW$7,FALSE)),"")</f>
      </c>
      <c r="CY52" s="116"/>
      <c r="CZ52" s="117">
        <f t="shared" si="172"/>
      </c>
      <c r="DA52" s="120">
        <f>IF(AND($F$8&lt;8,CZ52&lt;&gt;""),HLOOKUP(MATCH(EV52,EZ52:FF52,0),Discards,1,FALSE),"")</f>
      </c>
      <c r="DB52" s="117">
        <f t="shared" si="218"/>
        <v>0</v>
      </c>
      <c r="DC52" s="118">
        <f ca="1">IF(OR(CS52&lt;&gt;"",CU52&lt;&gt;""),RANK(DB52,DB$11:INDIRECT(DB$7,FALSE)),"")</f>
      </c>
      <c r="DD52" s="119"/>
      <c r="DE52" s="5"/>
      <c r="DF52" s="113">
        <f t="shared" si="173"/>
      </c>
      <c r="DG52" s="21"/>
      <c r="DH52" s="114">
        <f t="shared" si="219"/>
      </c>
      <c r="DI52" s="114">
        <f t="shared" si="220"/>
        <v>0</v>
      </c>
      <c r="DJ52" s="115">
        <f ca="1">IF(OR(DE52&lt;&gt;"",DG52&lt;&gt;""),RANK(DI52,DI$11:INDIRECT(DI$7,FALSE)),"")</f>
      </c>
      <c r="DK52" s="116"/>
      <c r="DL52" s="117">
        <f t="shared" si="174"/>
      </c>
      <c r="DM52" s="120">
        <f>IF(AND($F$8&lt;9,DL52&lt;&gt;""),HLOOKUP(MATCH(EW52,EZ52:FG52,0),Discards,1,FALSE),"")</f>
      </c>
      <c r="DN52" s="117">
        <f t="shared" si="221"/>
        <v>0</v>
      </c>
      <c r="DO52" s="118">
        <f ca="1">IF(OR(DE52&lt;&gt;"",DG52&lt;&gt;""),RANK(DN52,DN$11:INDIRECT(DN$7,FALSE)),"")</f>
      </c>
      <c r="DP52" s="119"/>
      <c r="DQ52" s="5"/>
      <c r="DR52" s="113">
        <f t="shared" si="175"/>
      </c>
      <c r="DS52" s="21"/>
      <c r="DT52" s="114">
        <f t="shared" si="222"/>
      </c>
      <c r="DU52" s="114">
        <f t="shared" si="223"/>
        <v>0</v>
      </c>
      <c r="DV52" s="115">
        <f ca="1">IF(OR(DQ52&lt;&gt;"",DS52&lt;&gt;""),RANK(DU52,DU$11:INDIRECT(DU$7,FALSE)),"")</f>
      </c>
      <c r="DW52" s="116"/>
      <c r="DX52" s="117">
        <f t="shared" si="176"/>
      </c>
      <c r="DY52" s="120">
        <f>IF(AND($F$8&lt;10,DX52&lt;&gt;""),HLOOKUP(MATCH(EX52,EZ52:FH52,0),Discards,1,FALSE),"")</f>
      </c>
      <c r="DZ52" s="117">
        <f t="shared" si="224"/>
        <v>0</v>
      </c>
      <c r="EA52" s="118">
        <f ca="1">IF(OR(DQ52&lt;&gt;"",DS52&lt;&gt;""),RANK(DZ52,DZ$11:INDIRECT(DZ$7,FALSE)),"")</f>
      </c>
      <c r="EB52" s="119"/>
      <c r="EC52" s="5"/>
      <c r="ED52" s="113">
        <f t="shared" si="177"/>
      </c>
      <c r="EE52" s="21"/>
      <c r="EF52" s="114">
        <f t="shared" si="225"/>
      </c>
      <c r="EG52" s="114">
        <f t="shared" si="226"/>
        <v>0</v>
      </c>
      <c r="EH52" s="115">
        <f ca="1">IF(OR(EC52&lt;&gt;"",EE52&lt;&gt;""),RANK(EG52,EG$11:INDIRECT(EG$7,FALSE)),"")</f>
      </c>
      <c r="EI52" s="116"/>
      <c r="EJ52" s="117">
        <f t="shared" si="178"/>
      </c>
      <c r="EK52" s="120">
        <f>IF(AND($F$8&lt;11,EJ52&lt;&gt;""),HLOOKUP(MATCH(EY52,EZ52:FI52,0),Discards,1,FALSE),"")</f>
      </c>
      <c r="EL52" s="117">
        <f t="shared" si="227"/>
        <v>0</v>
      </c>
      <c r="EM52" s="118">
        <f ca="1">IF(OR(EC52&lt;&gt;"",EE52&lt;&gt;""),RANK(EL52,EL$11:INDIRECT(EL$7,FALSE)),"")</f>
      </c>
      <c r="EN52" s="121"/>
      <c r="EP52" s="112">
        <f t="shared" si="228"/>
        <v>0</v>
      </c>
      <c r="EQ52" s="28">
        <f>MIN($EZ52:FA52)</f>
        <v>0</v>
      </c>
      <c r="ER52" s="28">
        <f>MIN($EZ52:FB52)</f>
        <v>0</v>
      </c>
      <c r="ES52" s="28">
        <f>MIN($EZ52:FC52)</f>
        <v>0</v>
      </c>
      <c r="ET52" s="28">
        <f>MIN($EZ52:FD52)</f>
        <v>0</v>
      </c>
      <c r="EU52" s="28">
        <f>MIN($EZ52:FE52)</f>
        <v>0</v>
      </c>
      <c r="EV52" s="28">
        <f>MIN($EZ52:FF52)</f>
        <v>0</v>
      </c>
      <c r="EW52" s="28">
        <f>MIN($EZ52:FG52)</f>
        <v>0</v>
      </c>
      <c r="EX52" s="28">
        <f>MIN($EZ52:FH52)</f>
        <v>0</v>
      </c>
      <c r="EY52" s="28">
        <f>MIN($EZ52:FI52)</f>
        <v>0</v>
      </c>
      <c r="EZ52" s="28">
        <f t="shared" si="179"/>
      </c>
      <c r="FA52" s="28">
        <f t="shared" si="180"/>
      </c>
      <c r="FB52" s="28">
        <f t="shared" si="181"/>
      </c>
      <c r="FC52" s="28">
        <f t="shared" si="182"/>
      </c>
      <c r="FD52" s="28">
        <f t="shared" si="183"/>
      </c>
      <c r="FE52" s="28">
        <f t="shared" si="184"/>
      </c>
      <c r="FF52" s="28">
        <f t="shared" si="185"/>
      </c>
      <c r="FG52" s="28">
        <f t="shared" si="186"/>
      </c>
      <c r="FH52" s="28">
        <f t="shared" si="187"/>
      </c>
      <c r="FI52" s="28">
        <f t="shared" si="188"/>
      </c>
      <c r="FL52" s="26">
        <f t="shared" si="229"/>
        <v>255000000</v>
      </c>
      <c r="FM52" s="26">
        <f t="shared" si="230"/>
        <v>255000</v>
      </c>
      <c r="FN52" s="26">
        <f t="shared" si="231"/>
        <v>255</v>
      </c>
      <c r="FO52" s="26">
        <f>IF(C52&lt;&gt;"",SUM(FL52:FN52),0)</f>
        <v>0</v>
      </c>
      <c r="FP52" s="26">
        <f ca="1">IF(FO52&gt;0,SMALL($FO$11:INDIRECT($FO$7,FALSE),A52),0)</f>
        <v>0</v>
      </c>
      <c r="FQ52" s="26">
        <f t="shared" si="232"/>
        <v>0</v>
      </c>
      <c r="FR52" s="26">
        <f t="shared" si="233"/>
        <v>0</v>
      </c>
      <c r="FS52" s="26">
        <f t="shared" si="234"/>
        <v>0</v>
      </c>
      <c r="FT52" s="26">
        <f t="shared" si="235"/>
      </c>
      <c r="FU52" s="26">
        <f t="shared" si="236"/>
        <v>24</v>
      </c>
      <c r="FV52" s="28">
        <f t="shared" si="189"/>
      </c>
      <c r="FW52" s="26">
        <f t="shared" si="249"/>
      </c>
      <c r="FX52" s="28">
        <f t="shared" si="237"/>
      </c>
      <c r="FY52" s="26">
        <f ca="1">IF(FX52&lt;&gt;"",RANK(FX52,FX$11:INDIRECT(FX$7,FALSE)),"")</f>
      </c>
      <c r="FZ52" s="26">
        <f t="shared" si="238"/>
      </c>
      <c r="GA52" s="26">
        <f t="shared" si="81"/>
      </c>
      <c r="GC52" s="27">
        <f t="shared" si="190"/>
      </c>
      <c r="GD52" s="27">
        <f t="shared" si="191"/>
      </c>
      <c r="GE52" s="27">
        <f t="shared" si="239"/>
      </c>
      <c r="GF52" s="27">
        <f t="shared" si="240"/>
      </c>
      <c r="GG52" s="27">
        <f t="shared" si="241"/>
        <v>0</v>
      </c>
      <c r="GH52" s="26">
        <f t="shared" si="242"/>
        <v>0</v>
      </c>
      <c r="GI52" s="26">
        <f t="shared" si="243"/>
        <v>0</v>
      </c>
      <c r="GJ52" s="26">
        <f t="shared" si="244"/>
        <v>0</v>
      </c>
      <c r="GK52" s="26">
        <f t="shared" si="245"/>
      </c>
      <c r="GL52" s="28">
        <f t="shared" si="246"/>
      </c>
      <c r="GM52" s="26">
        <f t="shared" si="247"/>
      </c>
    </row>
    <row r="53" spans="1:195" ht="12.75">
      <c r="A53" s="16">
        <f t="shared" si="248"/>
        <v>43</v>
      </c>
      <c r="B53" s="17"/>
      <c r="C53" s="18"/>
      <c r="D53" s="19"/>
      <c r="E53" s="18"/>
      <c r="F53" s="18" t="s">
        <v>13</v>
      </c>
      <c r="G53" s="148"/>
      <c r="H53" s="122">
        <f t="shared" si="192"/>
      </c>
      <c r="I53" s="30">
        <f t="shared" si="193"/>
      </c>
      <c r="J53" s="30">
        <f>AD53+AO53+BA53+BM53+BY53+CK53+CW53+DI53+DU53+EG53-(MIN(EZ53:FI53)*$EY$2)</f>
        <v>0</v>
      </c>
      <c r="K53" s="139">
        <f ca="1">IF(I53&lt;&gt;"",RANK(I53,J$11:INDIRECT(J$7,FALSE)),"")</f>
      </c>
      <c r="L53" s="102">
        <f t="shared" si="194"/>
      </c>
      <c r="M53" s="102">
        <f t="shared" si="195"/>
        <v>0</v>
      </c>
      <c r="N53" s="51">
        <f t="shared" si="160"/>
      </c>
      <c r="O53" s="150"/>
      <c r="P53" s="151">
        <f t="shared" si="38"/>
      </c>
      <c r="Q53" s="152"/>
      <c r="R53" s="153">
        <f t="shared" si="39"/>
      </c>
      <c r="S53" s="153">
        <f t="shared" si="40"/>
        <v>0</v>
      </c>
      <c r="T53" s="154">
        <f ca="1">IF(OR(O53&lt;&gt;"",Q53&lt;&gt;""),RANK(S53,S$11:INDIRECT(S$7,FALSE)),"")</f>
      </c>
      <c r="U53" s="155"/>
      <c r="V53" s="156"/>
      <c r="W53" s="156"/>
      <c r="X53" s="157"/>
      <c r="Y53" s="158"/>
      <c r="Z53" s="227"/>
      <c r="AA53" s="103">
        <f t="shared" si="196"/>
      </c>
      <c r="AB53" s="20"/>
      <c r="AC53" s="104">
        <f t="shared" si="197"/>
      </c>
      <c r="AD53" s="104">
        <f t="shared" si="198"/>
        <v>0</v>
      </c>
      <c r="AE53" s="105">
        <f ca="1">IF(OR(Z53&lt;&gt;"",AB53&lt;&gt;""),RANK(AD53,AD$11:INDIRECT(AD$7,FALSE)),"")</f>
      </c>
      <c r="AF53" s="106"/>
      <c r="AG53" s="107">
        <f t="shared" si="199"/>
      </c>
      <c r="AH53" s="107">
        <f t="shared" si="200"/>
        <v>0</v>
      </c>
      <c r="AI53" s="108">
        <f ca="1">IF(OR(Z53&lt;&gt;"",AB53&lt;&gt;""),RANK(AH53,AH$11:INDIRECT(AH$7,FALSE)),"")</f>
      </c>
      <c r="AJ53" s="109"/>
      <c r="AK53" s="4"/>
      <c r="AL53" s="103">
        <f t="shared" si="201"/>
      </c>
      <c r="AM53" s="20"/>
      <c r="AN53" s="104">
        <f t="shared" si="202"/>
      </c>
      <c r="AO53" s="104">
        <f t="shared" si="203"/>
        <v>0</v>
      </c>
      <c r="AP53" s="105">
        <f ca="1">IF(OR(AK53&lt;&gt;"",AM53&lt;&gt;""),RANK(AO53,AO$11:INDIRECT(AO$7,FALSE)),"")</f>
      </c>
      <c r="AQ53" s="106"/>
      <c r="AR53" s="107">
        <f t="shared" si="161"/>
      </c>
      <c r="AS53" s="110">
        <f>IF(AND($F$8&lt;3,AR53&lt;&gt;""),HLOOKUP(MATCH(EQ53,EZ53:FA53,0),Discards,1,FALSE),"")</f>
      </c>
      <c r="AT53" s="107">
        <f t="shared" si="162"/>
        <v>0</v>
      </c>
      <c r="AU53" s="108">
        <f ca="1">IF(OR(AK53&lt;&gt;"",AM53&lt;&gt;""),RANK(AT53,AT$11:INDIRECT(AT$7,FALSE)),"")</f>
      </c>
      <c r="AV53" s="109"/>
      <c r="AW53" s="4"/>
      <c r="AX53" s="103">
        <f t="shared" si="163"/>
      </c>
      <c r="AY53" s="20"/>
      <c r="AZ53" s="104">
        <f t="shared" si="204"/>
      </c>
      <c r="BA53" s="104">
        <f t="shared" si="205"/>
        <v>0</v>
      </c>
      <c r="BB53" s="105">
        <f ca="1">IF(OR(AW53&lt;&gt;"",AY53&lt;&gt;""),RANK(BA53,BA$11:INDIRECT(BA$7,FALSE)),"")</f>
      </c>
      <c r="BC53" s="106"/>
      <c r="BD53" s="107">
        <f t="shared" si="164"/>
      </c>
      <c r="BE53" s="110">
        <f>IF(AND($F$8&lt;4,BD53&lt;&gt;""),HLOOKUP(MATCH(ER53,EZ53:FB53,0),Discards,1,FALSE),"")</f>
      </c>
      <c r="BF53" s="107">
        <f t="shared" si="206"/>
        <v>0</v>
      </c>
      <c r="BG53" s="108">
        <f ca="1">IF(OR(AW53&lt;&gt;"",AY53&lt;&gt;""),RANK(BF53,BF$11:INDIRECT(BF$7,FALSE)),"")</f>
      </c>
      <c r="BH53" s="109"/>
      <c r="BI53" s="4"/>
      <c r="BJ53" s="103">
        <f t="shared" si="165"/>
      </c>
      <c r="BK53" s="20"/>
      <c r="BL53" s="104">
        <f t="shared" si="207"/>
      </c>
      <c r="BM53" s="104">
        <f t="shared" si="208"/>
        <v>0</v>
      </c>
      <c r="BN53" s="105">
        <f ca="1">IF(OR(BI53&lt;&gt;"",BK53&lt;&gt;""),RANK(BM53,BM$11:INDIRECT(BM$7,FALSE)),"")</f>
      </c>
      <c r="BO53" s="106"/>
      <c r="BP53" s="107">
        <f t="shared" si="166"/>
      </c>
      <c r="BQ53" s="110">
        <f>IF(AND($F$8&lt;5,BP53&lt;&gt;""),HLOOKUP(MATCH(ES53,EZ53:FC53,0),Discards,1,FALSE),"")</f>
      </c>
      <c r="BR53" s="107">
        <f t="shared" si="209"/>
        <v>0</v>
      </c>
      <c r="BS53" s="108">
        <f ca="1">IF(OR(BI53&lt;&gt;"",BK53&lt;&gt;""),RANK(BR53,BR$11:INDIRECT(BR$7,FALSE)),"")</f>
      </c>
      <c r="BT53" s="109"/>
      <c r="BU53" s="4"/>
      <c r="BV53" s="103">
        <f t="shared" si="167"/>
      </c>
      <c r="BW53" s="20"/>
      <c r="BX53" s="104">
        <f t="shared" si="210"/>
      </c>
      <c r="BY53" s="104">
        <f t="shared" si="211"/>
        <v>0</v>
      </c>
      <c r="BZ53" s="105">
        <f ca="1">IF(OR(BU53&lt;&gt;"",BW53&lt;&gt;""),RANK(BY53,BY$11:INDIRECT(BY$7,FALSE)),"")</f>
      </c>
      <c r="CA53" s="106"/>
      <c r="CB53" s="107">
        <f t="shared" si="168"/>
      </c>
      <c r="CC53" s="110">
        <f>IF(AND($F$8&lt;6,CB53&lt;&gt;""),HLOOKUP(MATCH(ET53,EZ53:FD53,0),Discards,1,FALSE),"")</f>
      </c>
      <c r="CD53" s="107">
        <f t="shared" si="212"/>
        <v>0</v>
      </c>
      <c r="CE53" s="108">
        <f ca="1">IF(OR(BU53&lt;&gt;"",BW53&lt;&gt;""),RANK(CD53,CD$11:INDIRECT(CD$7,FALSE)),"")</f>
      </c>
      <c r="CF53" s="109"/>
      <c r="CG53" s="4"/>
      <c r="CH53" s="103">
        <f t="shared" si="169"/>
      </c>
      <c r="CI53" s="20"/>
      <c r="CJ53" s="104">
        <f t="shared" si="213"/>
      </c>
      <c r="CK53" s="104">
        <f t="shared" si="214"/>
        <v>0</v>
      </c>
      <c r="CL53" s="105">
        <f ca="1">IF(OR(CG53&lt;&gt;"",CI53&lt;&gt;""),RANK(CK53,CK$11:INDIRECT(CK$7,FALSE)),"")</f>
      </c>
      <c r="CM53" s="106"/>
      <c r="CN53" s="107">
        <f t="shared" si="170"/>
      </c>
      <c r="CO53" s="110">
        <f>IF(AND($F$8&lt;7,CN53&lt;&gt;""),HLOOKUP(MATCH(EU53,EZ53:FE53,0),Discards,1,FALSE),"")</f>
      </c>
      <c r="CP53" s="107">
        <f t="shared" si="215"/>
        <v>0</v>
      </c>
      <c r="CQ53" s="108">
        <f ca="1">IF(OR(CG53&lt;&gt;"",CI53&lt;&gt;""),RANK(CP53,CP$11:INDIRECT(CP$7,FALSE)),"")</f>
      </c>
      <c r="CR53" s="109"/>
      <c r="CS53" s="4"/>
      <c r="CT53" s="103">
        <f t="shared" si="171"/>
      </c>
      <c r="CU53" s="20"/>
      <c r="CV53" s="104">
        <f t="shared" si="216"/>
      </c>
      <c r="CW53" s="104">
        <f t="shared" si="217"/>
        <v>0</v>
      </c>
      <c r="CX53" s="105">
        <f ca="1">IF(OR(CS53&lt;&gt;"",CU53&lt;&gt;""),RANK(CW53,CW$11:INDIRECT(CW$7,FALSE)),"")</f>
      </c>
      <c r="CY53" s="106"/>
      <c r="CZ53" s="107">
        <f t="shared" si="172"/>
      </c>
      <c r="DA53" s="110">
        <f>IF(AND($F$8&lt;8,CZ53&lt;&gt;""),HLOOKUP(MATCH(EV53,EZ53:FF53,0),Discards,1,FALSE),"")</f>
      </c>
      <c r="DB53" s="107">
        <f t="shared" si="218"/>
        <v>0</v>
      </c>
      <c r="DC53" s="108">
        <f ca="1">IF(OR(CS53&lt;&gt;"",CU53&lt;&gt;""),RANK(DB53,DB$11:INDIRECT(DB$7,FALSE)),"")</f>
      </c>
      <c r="DD53" s="109"/>
      <c r="DE53" s="4"/>
      <c r="DF53" s="103">
        <f t="shared" si="173"/>
      </c>
      <c r="DG53" s="20"/>
      <c r="DH53" s="104">
        <f t="shared" si="219"/>
      </c>
      <c r="DI53" s="104">
        <f t="shared" si="220"/>
        <v>0</v>
      </c>
      <c r="DJ53" s="105">
        <f ca="1">IF(OR(DE53&lt;&gt;"",DG53&lt;&gt;""),RANK(DI53,DI$11:INDIRECT(DI$7,FALSE)),"")</f>
      </c>
      <c r="DK53" s="106"/>
      <c r="DL53" s="107">
        <f t="shared" si="174"/>
      </c>
      <c r="DM53" s="110">
        <f>IF(AND($F$8&lt;9,DL53&lt;&gt;""),HLOOKUP(MATCH(EW53,EZ53:FG53,0),Discards,1,FALSE),"")</f>
      </c>
      <c r="DN53" s="107">
        <f t="shared" si="221"/>
        <v>0</v>
      </c>
      <c r="DO53" s="108">
        <f ca="1">IF(OR(DE53&lt;&gt;"",DG53&lt;&gt;""),RANK(DN53,DN$11:INDIRECT(DN$7,FALSE)),"")</f>
      </c>
      <c r="DP53" s="109"/>
      <c r="DQ53" s="4"/>
      <c r="DR53" s="103">
        <f t="shared" si="175"/>
      </c>
      <c r="DS53" s="20"/>
      <c r="DT53" s="104">
        <f t="shared" si="222"/>
      </c>
      <c r="DU53" s="104">
        <f t="shared" si="223"/>
        <v>0</v>
      </c>
      <c r="DV53" s="105">
        <f ca="1">IF(OR(DQ53&lt;&gt;"",DS53&lt;&gt;""),RANK(DU53,DU$11:INDIRECT(DU$7,FALSE)),"")</f>
      </c>
      <c r="DW53" s="106"/>
      <c r="DX53" s="107">
        <f t="shared" si="176"/>
      </c>
      <c r="DY53" s="110">
        <f>IF(AND($F$8&lt;10,DX53&lt;&gt;""),HLOOKUP(MATCH(EX53,EZ53:FH53,0),Discards,1,FALSE),"")</f>
      </c>
      <c r="DZ53" s="107">
        <f t="shared" si="224"/>
        <v>0</v>
      </c>
      <c r="EA53" s="108">
        <f ca="1">IF(OR(DQ53&lt;&gt;"",DS53&lt;&gt;""),RANK(DZ53,DZ$11:INDIRECT(DZ$7,FALSE)),"")</f>
      </c>
      <c r="EB53" s="109"/>
      <c r="EC53" s="4"/>
      <c r="ED53" s="103">
        <f t="shared" si="177"/>
      </c>
      <c r="EE53" s="20"/>
      <c r="EF53" s="104">
        <f t="shared" si="225"/>
      </c>
      <c r="EG53" s="104">
        <f t="shared" si="226"/>
        <v>0</v>
      </c>
      <c r="EH53" s="105">
        <f ca="1">IF(OR(EC53&lt;&gt;"",EE53&lt;&gt;""),RANK(EG53,EG$11:INDIRECT(EG$7,FALSE)),"")</f>
      </c>
      <c r="EI53" s="106"/>
      <c r="EJ53" s="107">
        <f t="shared" si="178"/>
      </c>
      <c r="EK53" s="110">
        <f>IF(AND($F$8&lt;11,EJ53&lt;&gt;""),HLOOKUP(MATCH(EY53,EZ53:FI53,0),Discards,1,FALSE),"")</f>
      </c>
      <c r="EL53" s="107">
        <f t="shared" si="227"/>
        <v>0</v>
      </c>
      <c r="EM53" s="108">
        <f ca="1">IF(OR(EC53&lt;&gt;"",EE53&lt;&gt;""),RANK(EL53,EL$11:INDIRECT(EL$7,FALSE)),"")</f>
      </c>
      <c r="EN53" s="111"/>
      <c r="EP53" s="112">
        <f t="shared" si="228"/>
        <v>0</v>
      </c>
      <c r="EQ53" s="28">
        <f>MIN($EZ53:FA53)</f>
        <v>0</v>
      </c>
      <c r="ER53" s="28">
        <f>MIN($EZ53:FB53)</f>
        <v>0</v>
      </c>
      <c r="ES53" s="28">
        <f>MIN($EZ53:FC53)</f>
        <v>0</v>
      </c>
      <c r="ET53" s="28">
        <f>MIN($EZ53:FD53)</f>
        <v>0</v>
      </c>
      <c r="EU53" s="28">
        <f>MIN($EZ53:FE53)</f>
        <v>0</v>
      </c>
      <c r="EV53" s="28">
        <f>MIN($EZ53:FF53)</f>
        <v>0</v>
      </c>
      <c r="EW53" s="28">
        <f>MIN($EZ53:FG53)</f>
        <v>0</v>
      </c>
      <c r="EX53" s="28">
        <f>MIN($EZ53:FH53)</f>
        <v>0</v>
      </c>
      <c r="EY53" s="28">
        <f>MIN($EZ53:FI53)</f>
        <v>0</v>
      </c>
      <c r="EZ53" s="28">
        <f t="shared" si="179"/>
      </c>
      <c r="FA53" s="28">
        <f t="shared" si="180"/>
      </c>
      <c r="FB53" s="28">
        <f t="shared" si="181"/>
      </c>
      <c r="FC53" s="28">
        <f t="shared" si="182"/>
      </c>
      <c r="FD53" s="28">
        <f t="shared" si="183"/>
      </c>
      <c r="FE53" s="28">
        <f t="shared" si="184"/>
      </c>
      <c r="FF53" s="28">
        <f t="shared" si="185"/>
      </c>
      <c r="FG53" s="28">
        <f t="shared" si="186"/>
      </c>
      <c r="FH53" s="28">
        <f t="shared" si="187"/>
      </c>
      <c r="FI53" s="28">
        <f t="shared" si="188"/>
      </c>
      <c r="FL53" s="26">
        <f t="shared" si="229"/>
        <v>255000000</v>
      </c>
      <c r="FM53" s="26">
        <f t="shared" si="230"/>
        <v>255000</v>
      </c>
      <c r="FN53" s="26">
        <f t="shared" si="231"/>
        <v>255</v>
      </c>
      <c r="FO53" s="26">
        <f>IF(C53&lt;&gt;"",SUM(FL53:FN53),0)</f>
        <v>0</v>
      </c>
      <c r="FP53" s="26">
        <f ca="1">IF(FO53&gt;0,SMALL($FO$11:INDIRECT($FO$7,FALSE),A53),0)</f>
        <v>0</v>
      </c>
      <c r="FQ53" s="26">
        <f t="shared" si="232"/>
        <v>0</v>
      </c>
      <c r="FR53" s="26">
        <f t="shared" si="233"/>
        <v>0</v>
      </c>
      <c r="FS53" s="26">
        <f t="shared" si="234"/>
        <v>0</v>
      </c>
      <c r="FT53" s="26">
        <f t="shared" si="235"/>
      </c>
      <c r="FU53" s="26">
        <f t="shared" si="236"/>
        <v>24</v>
      </c>
      <c r="FV53" s="28">
        <f t="shared" si="189"/>
      </c>
      <c r="FW53" s="26">
        <f t="shared" si="249"/>
      </c>
      <c r="FX53" s="28">
        <f t="shared" si="237"/>
      </c>
      <c r="FY53" s="26">
        <f ca="1">IF(FX53&lt;&gt;"",RANK(FX53,FX$11:INDIRECT(FX$7,FALSE)),"")</f>
      </c>
      <c r="FZ53" s="26">
        <f t="shared" si="238"/>
      </c>
      <c r="GA53" s="26">
        <f t="shared" si="81"/>
      </c>
      <c r="GC53" s="27">
        <f t="shared" si="190"/>
      </c>
      <c r="GD53" s="27">
        <f t="shared" si="191"/>
      </c>
      <c r="GE53" s="27">
        <f t="shared" si="239"/>
      </c>
      <c r="GF53" s="27">
        <f t="shared" si="240"/>
      </c>
      <c r="GG53" s="27">
        <f t="shared" si="241"/>
        <v>0</v>
      </c>
      <c r="GH53" s="26">
        <f t="shared" si="242"/>
        <v>0</v>
      </c>
      <c r="GI53" s="26">
        <f t="shared" si="243"/>
        <v>0</v>
      </c>
      <c r="GJ53" s="26">
        <f t="shared" si="244"/>
        <v>0</v>
      </c>
      <c r="GK53" s="26">
        <f t="shared" si="245"/>
      </c>
      <c r="GL53" s="28">
        <f t="shared" si="246"/>
      </c>
      <c r="GM53" s="26">
        <f t="shared" si="247"/>
      </c>
    </row>
    <row r="54" spans="1:195" ht="12.75">
      <c r="A54" s="16">
        <f t="shared" si="248"/>
        <v>44</v>
      </c>
      <c r="B54" s="17"/>
      <c r="C54" s="18"/>
      <c r="D54" s="19"/>
      <c r="E54" s="18"/>
      <c r="F54" s="18" t="s">
        <v>13</v>
      </c>
      <c r="G54" s="148"/>
      <c r="H54" s="122">
        <f t="shared" si="192"/>
      </c>
      <c r="I54" s="30">
        <f t="shared" si="193"/>
      </c>
      <c r="J54" s="30">
        <f>AD54+AO54+BA54+BM54+BY54+CK54+CW54+DI54+DU54+EG54-(MIN(EZ54:FI54)*$EY$2)</f>
        <v>0</v>
      </c>
      <c r="K54" s="139">
        <f ca="1">IF(I54&lt;&gt;"",RANK(I54,J$11:INDIRECT(J$7,FALSE)),"")</f>
      </c>
      <c r="L54" s="102">
        <f t="shared" si="194"/>
      </c>
      <c r="M54" s="102">
        <f t="shared" si="195"/>
        <v>0</v>
      </c>
      <c r="N54" s="51">
        <f t="shared" si="160"/>
      </c>
      <c r="O54" s="150"/>
      <c r="P54" s="151">
        <f t="shared" si="38"/>
      </c>
      <c r="Q54" s="152"/>
      <c r="R54" s="153">
        <f t="shared" si="39"/>
      </c>
      <c r="S54" s="153">
        <f t="shared" si="40"/>
        <v>0</v>
      </c>
      <c r="T54" s="154">
        <f ca="1">IF(OR(O54&lt;&gt;"",Q54&lt;&gt;""),RANK(S54,S$11:INDIRECT(S$7,FALSE)),"")</f>
      </c>
      <c r="U54" s="155"/>
      <c r="V54" s="156"/>
      <c r="W54" s="156"/>
      <c r="X54" s="157"/>
      <c r="Y54" s="158"/>
      <c r="Z54" s="227"/>
      <c r="AA54" s="103">
        <f t="shared" si="196"/>
      </c>
      <c r="AB54" s="20"/>
      <c r="AC54" s="104">
        <f t="shared" si="197"/>
      </c>
      <c r="AD54" s="104">
        <f t="shared" si="198"/>
        <v>0</v>
      </c>
      <c r="AE54" s="105">
        <f ca="1">IF(OR(Z54&lt;&gt;"",AB54&lt;&gt;""),RANK(AD54,AD$11:INDIRECT(AD$7,FALSE)),"")</f>
      </c>
      <c r="AF54" s="106"/>
      <c r="AG54" s="107">
        <f t="shared" si="199"/>
      </c>
      <c r="AH54" s="107">
        <f t="shared" si="200"/>
        <v>0</v>
      </c>
      <c r="AI54" s="108">
        <f ca="1">IF(OR(Z54&lt;&gt;"",AB54&lt;&gt;""),RANK(AH54,AH$11:INDIRECT(AH$7,FALSE)),"")</f>
      </c>
      <c r="AJ54" s="109"/>
      <c r="AK54" s="4"/>
      <c r="AL54" s="103">
        <f t="shared" si="201"/>
      </c>
      <c r="AM54" s="20"/>
      <c r="AN54" s="104">
        <f t="shared" si="202"/>
      </c>
      <c r="AO54" s="104">
        <f t="shared" si="203"/>
        <v>0</v>
      </c>
      <c r="AP54" s="105">
        <f ca="1">IF(OR(AK54&lt;&gt;"",AM54&lt;&gt;""),RANK(AO54,AO$11:INDIRECT(AO$7,FALSE)),"")</f>
      </c>
      <c r="AQ54" s="106"/>
      <c r="AR54" s="107">
        <f t="shared" si="161"/>
      </c>
      <c r="AS54" s="110">
        <f>IF(AND($F$8&lt;3,AR54&lt;&gt;""),HLOOKUP(MATCH(EQ54,EZ54:FA54,0),Discards,1,FALSE),"")</f>
      </c>
      <c r="AT54" s="107">
        <f t="shared" si="162"/>
        <v>0</v>
      </c>
      <c r="AU54" s="108">
        <f ca="1">IF(OR(AK54&lt;&gt;"",AM54&lt;&gt;""),RANK(AT54,AT$11:INDIRECT(AT$7,FALSE)),"")</f>
      </c>
      <c r="AV54" s="109"/>
      <c r="AW54" s="4"/>
      <c r="AX54" s="103">
        <f t="shared" si="163"/>
      </c>
      <c r="AY54" s="20"/>
      <c r="AZ54" s="104">
        <f t="shared" si="204"/>
      </c>
      <c r="BA54" s="104">
        <f t="shared" si="205"/>
        <v>0</v>
      </c>
      <c r="BB54" s="105">
        <f ca="1">IF(OR(AW54&lt;&gt;"",AY54&lt;&gt;""),RANK(BA54,BA$11:INDIRECT(BA$7,FALSE)),"")</f>
      </c>
      <c r="BC54" s="106"/>
      <c r="BD54" s="107">
        <f t="shared" si="164"/>
      </c>
      <c r="BE54" s="110">
        <f>IF(AND($F$8&lt;4,BD54&lt;&gt;""),HLOOKUP(MATCH(ER54,EZ54:FB54,0),Discards,1,FALSE),"")</f>
      </c>
      <c r="BF54" s="107">
        <f t="shared" si="206"/>
        <v>0</v>
      </c>
      <c r="BG54" s="108">
        <f ca="1">IF(OR(AW54&lt;&gt;"",AY54&lt;&gt;""),RANK(BF54,BF$11:INDIRECT(BF$7,FALSE)),"")</f>
      </c>
      <c r="BH54" s="109"/>
      <c r="BI54" s="4"/>
      <c r="BJ54" s="103">
        <f t="shared" si="165"/>
      </c>
      <c r="BK54" s="20"/>
      <c r="BL54" s="104">
        <f t="shared" si="207"/>
      </c>
      <c r="BM54" s="104">
        <f t="shared" si="208"/>
        <v>0</v>
      </c>
      <c r="BN54" s="105">
        <f ca="1">IF(OR(BI54&lt;&gt;"",BK54&lt;&gt;""),RANK(BM54,BM$11:INDIRECT(BM$7,FALSE)),"")</f>
      </c>
      <c r="BO54" s="106"/>
      <c r="BP54" s="107">
        <f t="shared" si="166"/>
      </c>
      <c r="BQ54" s="110">
        <f>IF(AND($F$8&lt;5,BP54&lt;&gt;""),HLOOKUP(MATCH(ES54,EZ54:FC54,0),Discards,1,FALSE),"")</f>
      </c>
      <c r="BR54" s="107">
        <f t="shared" si="209"/>
        <v>0</v>
      </c>
      <c r="BS54" s="108">
        <f ca="1">IF(OR(BI54&lt;&gt;"",BK54&lt;&gt;""),RANK(BR54,BR$11:INDIRECT(BR$7,FALSE)),"")</f>
      </c>
      <c r="BT54" s="109"/>
      <c r="BU54" s="4"/>
      <c r="BV54" s="103">
        <f t="shared" si="167"/>
      </c>
      <c r="BW54" s="20"/>
      <c r="BX54" s="104">
        <f t="shared" si="210"/>
      </c>
      <c r="BY54" s="104">
        <f t="shared" si="211"/>
        <v>0</v>
      </c>
      <c r="BZ54" s="105">
        <f ca="1">IF(OR(BU54&lt;&gt;"",BW54&lt;&gt;""),RANK(BY54,BY$11:INDIRECT(BY$7,FALSE)),"")</f>
      </c>
      <c r="CA54" s="106"/>
      <c r="CB54" s="107">
        <f t="shared" si="168"/>
      </c>
      <c r="CC54" s="110">
        <f>IF(AND($F$8&lt;6,CB54&lt;&gt;""),HLOOKUP(MATCH(ET54,EZ54:FD54,0),Discards,1,FALSE),"")</f>
      </c>
      <c r="CD54" s="107">
        <f t="shared" si="212"/>
        <v>0</v>
      </c>
      <c r="CE54" s="108">
        <f ca="1">IF(OR(BU54&lt;&gt;"",BW54&lt;&gt;""),RANK(CD54,CD$11:INDIRECT(CD$7,FALSE)),"")</f>
      </c>
      <c r="CF54" s="109"/>
      <c r="CG54" s="4"/>
      <c r="CH54" s="103">
        <f t="shared" si="169"/>
      </c>
      <c r="CI54" s="20"/>
      <c r="CJ54" s="104">
        <f t="shared" si="213"/>
      </c>
      <c r="CK54" s="104">
        <f t="shared" si="214"/>
        <v>0</v>
      </c>
      <c r="CL54" s="105">
        <f ca="1">IF(OR(CG54&lt;&gt;"",CI54&lt;&gt;""),RANK(CK54,CK$11:INDIRECT(CK$7,FALSE)),"")</f>
      </c>
      <c r="CM54" s="106"/>
      <c r="CN54" s="107">
        <f t="shared" si="170"/>
      </c>
      <c r="CO54" s="110">
        <f>IF(AND($F$8&lt;7,CN54&lt;&gt;""),HLOOKUP(MATCH(EU54,EZ54:FE54,0),Discards,1,FALSE),"")</f>
      </c>
      <c r="CP54" s="107">
        <f t="shared" si="215"/>
        <v>0</v>
      </c>
      <c r="CQ54" s="108">
        <f ca="1">IF(OR(CG54&lt;&gt;"",CI54&lt;&gt;""),RANK(CP54,CP$11:INDIRECT(CP$7,FALSE)),"")</f>
      </c>
      <c r="CR54" s="109"/>
      <c r="CS54" s="4"/>
      <c r="CT54" s="103">
        <f t="shared" si="171"/>
      </c>
      <c r="CU54" s="20"/>
      <c r="CV54" s="104">
        <f t="shared" si="216"/>
      </c>
      <c r="CW54" s="104">
        <f t="shared" si="217"/>
        <v>0</v>
      </c>
      <c r="CX54" s="105">
        <f ca="1">IF(OR(CS54&lt;&gt;"",CU54&lt;&gt;""),RANK(CW54,CW$11:INDIRECT(CW$7,FALSE)),"")</f>
      </c>
      <c r="CY54" s="106"/>
      <c r="CZ54" s="107">
        <f t="shared" si="172"/>
      </c>
      <c r="DA54" s="110">
        <f>IF(AND($F$8&lt;8,CZ54&lt;&gt;""),HLOOKUP(MATCH(EV54,EZ54:FF54,0),Discards,1,FALSE),"")</f>
      </c>
      <c r="DB54" s="107">
        <f t="shared" si="218"/>
        <v>0</v>
      </c>
      <c r="DC54" s="108">
        <f ca="1">IF(OR(CS54&lt;&gt;"",CU54&lt;&gt;""),RANK(DB54,DB$11:INDIRECT(DB$7,FALSE)),"")</f>
      </c>
      <c r="DD54" s="109"/>
      <c r="DE54" s="4"/>
      <c r="DF54" s="103">
        <f t="shared" si="173"/>
      </c>
      <c r="DG54" s="20"/>
      <c r="DH54" s="104">
        <f t="shared" si="219"/>
      </c>
      <c r="DI54" s="104">
        <f t="shared" si="220"/>
        <v>0</v>
      </c>
      <c r="DJ54" s="105">
        <f ca="1">IF(OR(DE54&lt;&gt;"",DG54&lt;&gt;""),RANK(DI54,DI$11:INDIRECT(DI$7,FALSE)),"")</f>
      </c>
      <c r="DK54" s="106"/>
      <c r="DL54" s="107">
        <f t="shared" si="174"/>
      </c>
      <c r="DM54" s="110">
        <f>IF(AND($F$8&lt;9,DL54&lt;&gt;""),HLOOKUP(MATCH(EW54,EZ54:FG54,0),Discards,1,FALSE),"")</f>
      </c>
      <c r="DN54" s="107">
        <f t="shared" si="221"/>
        <v>0</v>
      </c>
      <c r="DO54" s="108">
        <f ca="1">IF(OR(DE54&lt;&gt;"",DG54&lt;&gt;""),RANK(DN54,DN$11:INDIRECT(DN$7,FALSE)),"")</f>
      </c>
      <c r="DP54" s="109"/>
      <c r="DQ54" s="4"/>
      <c r="DR54" s="103">
        <f t="shared" si="175"/>
      </c>
      <c r="DS54" s="20"/>
      <c r="DT54" s="104">
        <f t="shared" si="222"/>
      </c>
      <c r="DU54" s="104">
        <f t="shared" si="223"/>
        <v>0</v>
      </c>
      <c r="DV54" s="105">
        <f ca="1">IF(OR(DQ54&lt;&gt;"",DS54&lt;&gt;""),RANK(DU54,DU$11:INDIRECT(DU$7,FALSE)),"")</f>
      </c>
      <c r="DW54" s="106"/>
      <c r="DX54" s="107">
        <f t="shared" si="176"/>
      </c>
      <c r="DY54" s="110">
        <f>IF(AND($F$8&lt;10,DX54&lt;&gt;""),HLOOKUP(MATCH(EX54,EZ54:FH54,0),Discards,1,FALSE),"")</f>
      </c>
      <c r="DZ54" s="107">
        <f t="shared" si="224"/>
        <v>0</v>
      </c>
      <c r="EA54" s="108">
        <f ca="1">IF(OR(DQ54&lt;&gt;"",DS54&lt;&gt;""),RANK(DZ54,DZ$11:INDIRECT(DZ$7,FALSE)),"")</f>
      </c>
      <c r="EB54" s="109"/>
      <c r="EC54" s="4"/>
      <c r="ED54" s="103">
        <f t="shared" si="177"/>
      </c>
      <c r="EE54" s="20"/>
      <c r="EF54" s="104">
        <f t="shared" si="225"/>
      </c>
      <c r="EG54" s="104">
        <f t="shared" si="226"/>
        <v>0</v>
      </c>
      <c r="EH54" s="105">
        <f ca="1">IF(OR(EC54&lt;&gt;"",EE54&lt;&gt;""),RANK(EG54,EG$11:INDIRECT(EG$7,FALSE)),"")</f>
      </c>
      <c r="EI54" s="106"/>
      <c r="EJ54" s="107">
        <f t="shared" si="178"/>
      </c>
      <c r="EK54" s="110">
        <f>IF(AND($F$8&lt;11,EJ54&lt;&gt;""),HLOOKUP(MATCH(EY54,EZ54:FI54,0),Discards,1,FALSE),"")</f>
      </c>
      <c r="EL54" s="107">
        <f t="shared" si="227"/>
        <v>0</v>
      </c>
      <c r="EM54" s="108">
        <f ca="1">IF(OR(EC54&lt;&gt;"",EE54&lt;&gt;""),RANK(EL54,EL$11:INDIRECT(EL$7,FALSE)),"")</f>
      </c>
      <c r="EN54" s="111"/>
      <c r="EP54" s="112">
        <f t="shared" si="228"/>
        <v>0</v>
      </c>
      <c r="EQ54" s="28">
        <f>MIN($EZ54:FA54)</f>
        <v>0</v>
      </c>
      <c r="ER54" s="28">
        <f>MIN($EZ54:FB54)</f>
        <v>0</v>
      </c>
      <c r="ES54" s="28">
        <f>MIN($EZ54:FC54)</f>
        <v>0</v>
      </c>
      <c r="ET54" s="28">
        <f>MIN($EZ54:FD54)</f>
        <v>0</v>
      </c>
      <c r="EU54" s="28">
        <f>MIN($EZ54:FE54)</f>
        <v>0</v>
      </c>
      <c r="EV54" s="28">
        <f>MIN($EZ54:FF54)</f>
        <v>0</v>
      </c>
      <c r="EW54" s="28">
        <f>MIN($EZ54:FG54)</f>
        <v>0</v>
      </c>
      <c r="EX54" s="28">
        <f>MIN($EZ54:FH54)</f>
        <v>0</v>
      </c>
      <c r="EY54" s="28">
        <f>MIN($EZ54:FI54)</f>
        <v>0</v>
      </c>
      <c r="EZ54" s="28">
        <f t="shared" si="179"/>
      </c>
      <c r="FA54" s="28">
        <f t="shared" si="180"/>
      </c>
      <c r="FB54" s="28">
        <f t="shared" si="181"/>
      </c>
      <c r="FC54" s="28">
        <f t="shared" si="182"/>
      </c>
      <c r="FD54" s="28">
        <f t="shared" si="183"/>
      </c>
      <c r="FE54" s="28">
        <f t="shared" si="184"/>
      </c>
      <c r="FF54" s="28">
        <f t="shared" si="185"/>
      </c>
      <c r="FG54" s="28">
        <f t="shared" si="186"/>
      </c>
      <c r="FH54" s="28">
        <f t="shared" si="187"/>
      </c>
      <c r="FI54" s="28">
        <f t="shared" si="188"/>
      </c>
      <c r="FL54" s="26">
        <f t="shared" si="229"/>
        <v>255000000</v>
      </c>
      <c r="FM54" s="26">
        <f t="shared" si="230"/>
        <v>255000</v>
      </c>
      <c r="FN54" s="26">
        <f t="shared" si="231"/>
        <v>255</v>
      </c>
      <c r="FO54" s="26">
        <f>IF(C54&lt;&gt;"",SUM(FL54:FN54),0)</f>
        <v>0</v>
      </c>
      <c r="FP54" s="26">
        <f ca="1">IF(FO54&gt;0,SMALL($FO$11:INDIRECT($FO$7,FALSE),A54),0)</f>
        <v>0</v>
      </c>
      <c r="FQ54" s="26">
        <f t="shared" si="232"/>
        <v>0</v>
      </c>
      <c r="FR54" s="26">
        <f t="shared" si="233"/>
        <v>0</v>
      </c>
      <c r="FS54" s="26">
        <f t="shared" si="234"/>
        <v>0</v>
      </c>
      <c r="FT54" s="26">
        <f t="shared" si="235"/>
      </c>
      <c r="FU54" s="26">
        <f t="shared" si="236"/>
        <v>24</v>
      </c>
      <c r="FV54" s="28">
        <f t="shared" si="189"/>
      </c>
      <c r="FW54" s="26">
        <f t="shared" si="249"/>
      </c>
      <c r="FX54" s="28">
        <f t="shared" si="237"/>
      </c>
      <c r="FY54" s="26">
        <f ca="1">IF(FX54&lt;&gt;"",RANK(FX54,FX$11:INDIRECT(FX$7,FALSE)),"")</f>
      </c>
      <c r="FZ54" s="26">
        <f t="shared" si="238"/>
      </c>
      <c r="GA54" s="26">
        <f t="shared" si="81"/>
      </c>
      <c r="GC54" s="27">
        <f t="shared" si="190"/>
      </c>
      <c r="GD54" s="27">
        <f t="shared" si="191"/>
      </c>
      <c r="GE54" s="27">
        <f t="shared" si="239"/>
      </c>
      <c r="GF54" s="27">
        <f t="shared" si="240"/>
      </c>
      <c r="GG54" s="27">
        <f t="shared" si="241"/>
        <v>0</v>
      </c>
      <c r="GH54" s="26">
        <f t="shared" si="242"/>
        <v>0</v>
      </c>
      <c r="GI54" s="26">
        <f t="shared" si="243"/>
        <v>0</v>
      </c>
      <c r="GJ54" s="26">
        <f t="shared" si="244"/>
        <v>0</v>
      </c>
      <c r="GK54" s="26">
        <f t="shared" si="245"/>
      </c>
      <c r="GL54" s="28">
        <f t="shared" si="246"/>
      </c>
      <c r="GM54" s="26">
        <f t="shared" si="247"/>
      </c>
    </row>
    <row r="55" spans="1:195" ht="12.75">
      <c r="A55" s="16">
        <f t="shared" si="248"/>
        <v>45</v>
      </c>
      <c r="B55" s="17"/>
      <c r="C55" s="18"/>
      <c r="D55" s="19"/>
      <c r="E55" s="18"/>
      <c r="F55" s="18" t="s">
        <v>13</v>
      </c>
      <c r="G55" s="148"/>
      <c r="H55" s="122">
        <f t="shared" si="192"/>
      </c>
      <c r="I55" s="30">
        <f t="shared" si="193"/>
      </c>
      <c r="J55" s="30">
        <f>AD55+AO55+BA55+BM55+BY55+CK55+CW55+DI55+DU55+EG55-(MIN(EZ55:FI55)*$EY$2)</f>
        <v>0</v>
      </c>
      <c r="K55" s="139">
        <f ca="1">IF(I55&lt;&gt;"",RANK(I55,J$11:INDIRECT(J$7,FALSE)),"")</f>
      </c>
      <c r="L55" s="102">
        <f t="shared" si="194"/>
      </c>
      <c r="M55" s="102">
        <f t="shared" si="195"/>
        <v>0</v>
      </c>
      <c r="N55" s="51">
        <f t="shared" si="160"/>
      </c>
      <c r="O55" s="150"/>
      <c r="P55" s="151">
        <f t="shared" si="38"/>
      </c>
      <c r="Q55" s="152"/>
      <c r="R55" s="153">
        <f t="shared" si="39"/>
      </c>
      <c r="S55" s="153">
        <f t="shared" si="40"/>
        <v>0</v>
      </c>
      <c r="T55" s="154">
        <f ca="1">IF(OR(O55&lt;&gt;"",Q55&lt;&gt;""),RANK(S55,S$11:INDIRECT(S$7,FALSE)),"")</f>
      </c>
      <c r="U55" s="155"/>
      <c r="V55" s="156"/>
      <c r="W55" s="156"/>
      <c r="X55" s="157"/>
      <c r="Y55" s="158"/>
      <c r="Z55" s="227"/>
      <c r="AA55" s="103">
        <f t="shared" si="196"/>
      </c>
      <c r="AB55" s="20"/>
      <c r="AC55" s="104">
        <f t="shared" si="197"/>
      </c>
      <c r="AD55" s="104">
        <f t="shared" si="198"/>
        <v>0</v>
      </c>
      <c r="AE55" s="105">
        <f ca="1">IF(OR(Z55&lt;&gt;"",AB55&lt;&gt;""),RANK(AD55,AD$11:INDIRECT(AD$7,FALSE)),"")</f>
      </c>
      <c r="AF55" s="106"/>
      <c r="AG55" s="107">
        <f t="shared" si="199"/>
      </c>
      <c r="AH55" s="107">
        <f t="shared" si="200"/>
        <v>0</v>
      </c>
      <c r="AI55" s="108">
        <f ca="1">IF(OR(Z55&lt;&gt;"",AB55&lt;&gt;""),RANK(AH55,AH$11:INDIRECT(AH$7,FALSE)),"")</f>
      </c>
      <c r="AJ55" s="109"/>
      <c r="AK55" s="4"/>
      <c r="AL55" s="103">
        <f t="shared" si="201"/>
      </c>
      <c r="AM55" s="20"/>
      <c r="AN55" s="104">
        <f t="shared" si="202"/>
      </c>
      <c r="AO55" s="104">
        <f t="shared" si="203"/>
        <v>0</v>
      </c>
      <c r="AP55" s="105">
        <f ca="1">IF(OR(AK55&lt;&gt;"",AM55&lt;&gt;""),RANK(AO55,AO$11:INDIRECT(AO$7,FALSE)),"")</f>
      </c>
      <c r="AQ55" s="106"/>
      <c r="AR55" s="107">
        <f t="shared" si="161"/>
      </c>
      <c r="AS55" s="110">
        <f>IF(AND($F$8&lt;3,AR55&lt;&gt;""),HLOOKUP(MATCH(EQ55,EZ55:FA55,0),Discards,1,FALSE),"")</f>
      </c>
      <c r="AT55" s="107">
        <f t="shared" si="162"/>
        <v>0</v>
      </c>
      <c r="AU55" s="108">
        <f ca="1">IF(OR(AK55&lt;&gt;"",AM55&lt;&gt;""),RANK(AT55,AT$11:INDIRECT(AT$7,FALSE)),"")</f>
      </c>
      <c r="AV55" s="109"/>
      <c r="AW55" s="4"/>
      <c r="AX55" s="103">
        <f t="shared" si="163"/>
      </c>
      <c r="AY55" s="20"/>
      <c r="AZ55" s="104">
        <f t="shared" si="204"/>
      </c>
      <c r="BA55" s="104">
        <f t="shared" si="205"/>
        <v>0</v>
      </c>
      <c r="BB55" s="105">
        <f ca="1">IF(OR(AW55&lt;&gt;"",AY55&lt;&gt;""),RANK(BA55,BA$11:INDIRECT(BA$7,FALSE)),"")</f>
      </c>
      <c r="BC55" s="106"/>
      <c r="BD55" s="107">
        <f t="shared" si="164"/>
      </c>
      <c r="BE55" s="110">
        <f>IF(AND($F$8&lt;4,BD55&lt;&gt;""),HLOOKUP(MATCH(ER55,EZ55:FB55,0),Discards,1,FALSE),"")</f>
      </c>
      <c r="BF55" s="107">
        <f t="shared" si="206"/>
        <v>0</v>
      </c>
      <c r="BG55" s="108">
        <f ca="1">IF(OR(AW55&lt;&gt;"",AY55&lt;&gt;""),RANK(BF55,BF$11:INDIRECT(BF$7,FALSE)),"")</f>
      </c>
      <c r="BH55" s="109"/>
      <c r="BI55" s="4"/>
      <c r="BJ55" s="103">
        <f t="shared" si="165"/>
      </c>
      <c r="BK55" s="20"/>
      <c r="BL55" s="104">
        <f t="shared" si="207"/>
      </c>
      <c r="BM55" s="104">
        <f t="shared" si="208"/>
        <v>0</v>
      </c>
      <c r="BN55" s="105">
        <f ca="1">IF(OR(BI55&lt;&gt;"",BK55&lt;&gt;""),RANK(BM55,BM$11:INDIRECT(BM$7,FALSE)),"")</f>
      </c>
      <c r="BO55" s="106"/>
      <c r="BP55" s="107">
        <f t="shared" si="166"/>
      </c>
      <c r="BQ55" s="110">
        <f>IF(AND($F$8&lt;5,BP55&lt;&gt;""),HLOOKUP(MATCH(ES55,EZ55:FC55,0),Discards,1,FALSE),"")</f>
      </c>
      <c r="BR55" s="107">
        <f t="shared" si="209"/>
        <v>0</v>
      </c>
      <c r="BS55" s="108">
        <f ca="1">IF(OR(BI55&lt;&gt;"",BK55&lt;&gt;""),RANK(BR55,BR$11:INDIRECT(BR$7,FALSE)),"")</f>
      </c>
      <c r="BT55" s="109"/>
      <c r="BU55" s="4"/>
      <c r="BV55" s="103">
        <f t="shared" si="167"/>
      </c>
      <c r="BW55" s="20"/>
      <c r="BX55" s="104">
        <f t="shared" si="210"/>
      </c>
      <c r="BY55" s="104">
        <f t="shared" si="211"/>
        <v>0</v>
      </c>
      <c r="BZ55" s="105">
        <f ca="1">IF(OR(BU55&lt;&gt;"",BW55&lt;&gt;""),RANK(BY55,BY$11:INDIRECT(BY$7,FALSE)),"")</f>
      </c>
      <c r="CA55" s="106"/>
      <c r="CB55" s="107">
        <f t="shared" si="168"/>
      </c>
      <c r="CC55" s="110">
        <f>IF(AND($F$8&lt;6,CB55&lt;&gt;""),HLOOKUP(MATCH(ET55,EZ55:FD55,0),Discards,1,FALSE),"")</f>
      </c>
      <c r="CD55" s="107">
        <f t="shared" si="212"/>
        <v>0</v>
      </c>
      <c r="CE55" s="108">
        <f ca="1">IF(OR(BU55&lt;&gt;"",BW55&lt;&gt;""),RANK(CD55,CD$11:INDIRECT(CD$7,FALSE)),"")</f>
      </c>
      <c r="CF55" s="109"/>
      <c r="CG55" s="4"/>
      <c r="CH55" s="103">
        <f t="shared" si="169"/>
      </c>
      <c r="CI55" s="20"/>
      <c r="CJ55" s="104">
        <f t="shared" si="213"/>
      </c>
      <c r="CK55" s="104">
        <f t="shared" si="214"/>
        <v>0</v>
      </c>
      <c r="CL55" s="105">
        <f ca="1">IF(OR(CG55&lt;&gt;"",CI55&lt;&gt;""),RANK(CK55,CK$11:INDIRECT(CK$7,FALSE)),"")</f>
      </c>
      <c r="CM55" s="106"/>
      <c r="CN55" s="107">
        <f t="shared" si="170"/>
      </c>
      <c r="CO55" s="110">
        <f>IF(AND($F$8&lt;7,CN55&lt;&gt;""),HLOOKUP(MATCH(EU55,EZ55:FE55,0),Discards,1,FALSE),"")</f>
      </c>
      <c r="CP55" s="107">
        <f t="shared" si="215"/>
        <v>0</v>
      </c>
      <c r="CQ55" s="108">
        <f ca="1">IF(OR(CG55&lt;&gt;"",CI55&lt;&gt;""),RANK(CP55,CP$11:INDIRECT(CP$7,FALSE)),"")</f>
      </c>
      <c r="CR55" s="109"/>
      <c r="CS55" s="4"/>
      <c r="CT55" s="103">
        <f t="shared" si="171"/>
      </c>
      <c r="CU55" s="20"/>
      <c r="CV55" s="104">
        <f t="shared" si="216"/>
      </c>
      <c r="CW55" s="104">
        <f t="shared" si="217"/>
        <v>0</v>
      </c>
      <c r="CX55" s="105">
        <f ca="1">IF(OR(CS55&lt;&gt;"",CU55&lt;&gt;""),RANK(CW55,CW$11:INDIRECT(CW$7,FALSE)),"")</f>
      </c>
      <c r="CY55" s="106"/>
      <c r="CZ55" s="107">
        <f t="shared" si="172"/>
      </c>
      <c r="DA55" s="110">
        <f>IF(AND($F$8&lt;8,CZ55&lt;&gt;""),HLOOKUP(MATCH(EV55,EZ55:FF55,0),Discards,1,FALSE),"")</f>
      </c>
      <c r="DB55" s="107">
        <f t="shared" si="218"/>
        <v>0</v>
      </c>
      <c r="DC55" s="108">
        <f ca="1">IF(OR(CS55&lt;&gt;"",CU55&lt;&gt;""),RANK(DB55,DB$11:INDIRECT(DB$7,FALSE)),"")</f>
      </c>
      <c r="DD55" s="109"/>
      <c r="DE55" s="4"/>
      <c r="DF55" s="103">
        <f t="shared" si="173"/>
      </c>
      <c r="DG55" s="20"/>
      <c r="DH55" s="104">
        <f t="shared" si="219"/>
      </c>
      <c r="DI55" s="104">
        <f t="shared" si="220"/>
        <v>0</v>
      </c>
      <c r="DJ55" s="105">
        <f ca="1">IF(OR(DE55&lt;&gt;"",DG55&lt;&gt;""),RANK(DI55,DI$11:INDIRECT(DI$7,FALSE)),"")</f>
      </c>
      <c r="DK55" s="106"/>
      <c r="DL55" s="107">
        <f t="shared" si="174"/>
      </c>
      <c r="DM55" s="110">
        <f>IF(AND($F$8&lt;9,DL55&lt;&gt;""),HLOOKUP(MATCH(EW55,EZ55:FG55,0),Discards,1,FALSE),"")</f>
      </c>
      <c r="DN55" s="107">
        <f t="shared" si="221"/>
        <v>0</v>
      </c>
      <c r="DO55" s="108">
        <f ca="1">IF(OR(DE55&lt;&gt;"",DG55&lt;&gt;""),RANK(DN55,DN$11:INDIRECT(DN$7,FALSE)),"")</f>
      </c>
      <c r="DP55" s="109"/>
      <c r="DQ55" s="4"/>
      <c r="DR55" s="103">
        <f t="shared" si="175"/>
      </c>
      <c r="DS55" s="20"/>
      <c r="DT55" s="104">
        <f t="shared" si="222"/>
      </c>
      <c r="DU55" s="104">
        <f t="shared" si="223"/>
        <v>0</v>
      </c>
      <c r="DV55" s="105">
        <f ca="1">IF(OR(DQ55&lt;&gt;"",DS55&lt;&gt;""),RANK(DU55,DU$11:INDIRECT(DU$7,FALSE)),"")</f>
      </c>
      <c r="DW55" s="106"/>
      <c r="DX55" s="107">
        <f t="shared" si="176"/>
      </c>
      <c r="DY55" s="110">
        <f>IF(AND($F$8&lt;10,DX55&lt;&gt;""),HLOOKUP(MATCH(EX55,EZ55:FH55,0),Discards,1,FALSE),"")</f>
      </c>
      <c r="DZ55" s="107">
        <f t="shared" si="224"/>
        <v>0</v>
      </c>
      <c r="EA55" s="108">
        <f ca="1">IF(OR(DQ55&lt;&gt;"",DS55&lt;&gt;""),RANK(DZ55,DZ$11:INDIRECT(DZ$7,FALSE)),"")</f>
      </c>
      <c r="EB55" s="109"/>
      <c r="EC55" s="4"/>
      <c r="ED55" s="103">
        <f t="shared" si="177"/>
      </c>
      <c r="EE55" s="20"/>
      <c r="EF55" s="104">
        <f t="shared" si="225"/>
      </c>
      <c r="EG55" s="104">
        <f t="shared" si="226"/>
        <v>0</v>
      </c>
      <c r="EH55" s="105">
        <f ca="1">IF(OR(EC55&lt;&gt;"",EE55&lt;&gt;""),RANK(EG55,EG$11:INDIRECT(EG$7,FALSE)),"")</f>
      </c>
      <c r="EI55" s="106"/>
      <c r="EJ55" s="107">
        <f t="shared" si="178"/>
      </c>
      <c r="EK55" s="110">
        <f>IF(AND($F$8&lt;11,EJ55&lt;&gt;""),HLOOKUP(MATCH(EY55,EZ55:FI55,0),Discards,1,FALSE),"")</f>
      </c>
      <c r="EL55" s="107">
        <f t="shared" si="227"/>
        <v>0</v>
      </c>
      <c r="EM55" s="108">
        <f ca="1">IF(OR(EC55&lt;&gt;"",EE55&lt;&gt;""),RANK(EL55,EL$11:INDIRECT(EL$7,FALSE)),"")</f>
      </c>
      <c r="EN55" s="111"/>
      <c r="EP55" s="112">
        <f t="shared" si="228"/>
        <v>0</v>
      </c>
      <c r="EQ55" s="28">
        <f>MIN($EZ55:FA55)</f>
        <v>0</v>
      </c>
      <c r="ER55" s="28">
        <f>MIN($EZ55:FB55)</f>
        <v>0</v>
      </c>
      <c r="ES55" s="28">
        <f>MIN($EZ55:FC55)</f>
        <v>0</v>
      </c>
      <c r="ET55" s="28">
        <f>MIN($EZ55:FD55)</f>
        <v>0</v>
      </c>
      <c r="EU55" s="28">
        <f>MIN($EZ55:FE55)</f>
        <v>0</v>
      </c>
      <c r="EV55" s="28">
        <f>MIN($EZ55:FF55)</f>
        <v>0</v>
      </c>
      <c r="EW55" s="28">
        <f>MIN($EZ55:FG55)</f>
        <v>0</v>
      </c>
      <c r="EX55" s="28">
        <f>MIN($EZ55:FH55)</f>
        <v>0</v>
      </c>
      <c r="EY55" s="28">
        <f>MIN($EZ55:FI55)</f>
        <v>0</v>
      </c>
      <c r="EZ55" s="28">
        <f t="shared" si="179"/>
      </c>
      <c r="FA55" s="28">
        <f t="shared" si="180"/>
      </c>
      <c r="FB55" s="28">
        <f t="shared" si="181"/>
      </c>
      <c r="FC55" s="28">
        <f t="shared" si="182"/>
      </c>
      <c r="FD55" s="28">
        <f t="shared" si="183"/>
      </c>
      <c r="FE55" s="28">
        <f t="shared" si="184"/>
      </c>
      <c r="FF55" s="28">
        <f t="shared" si="185"/>
      </c>
      <c r="FG55" s="28">
        <f t="shared" si="186"/>
      </c>
      <c r="FH55" s="28">
        <f t="shared" si="187"/>
      </c>
      <c r="FI55" s="28">
        <f t="shared" si="188"/>
      </c>
      <c r="FL55" s="26">
        <f t="shared" si="229"/>
        <v>255000000</v>
      </c>
      <c r="FM55" s="26">
        <f t="shared" si="230"/>
        <v>255000</v>
      </c>
      <c r="FN55" s="26">
        <f t="shared" si="231"/>
        <v>255</v>
      </c>
      <c r="FO55" s="26">
        <f>IF(C55&lt;&gt;"",SUM(FL55:FN55),0)</f>
        <v>0</v>
      </c>
      <c r="FP55" s="26">
        <f ca="1">IF(FO55&gt;0,SMALL($FO$11:INDIRECT($FO$7,FALSE),A55),0)</f>
        <v>0</v>
      </c>
      <c r="FQ55" s="26">
        <f t="shared" si="232"/>
        <v>0</v>
      </c>
      <c r="FR55" s="26">
        <f t="shared" si="233"/>
        <v>0</v>
      </c>
      <c r="FS55" s="26">
        <f t="shared" si="234"/>
        <v>0</v>
      </c>
      <c r="FT55" s="26">
        <f t="shared" si="235"/>
      </c>
      <c r="FU55" s="26">
        <f t="shared" si="236"/>
        <v>24</v>
      </c>
      <c r="FV55" s="28">
        <f t="shared" si="189"/>
      </c>
      <c r="FW55" s="26">
        <f t="shared" si="249"/>
      </c>
      <c r="FX55" s="28">
        <f t="shared" si="237"/>
      </c>
      <c r="FY55" s="26">
        <f ca="1">IF(FX55&lt;&gt;"",RANK(FX55,FX$11:INDIRECT(FX$7,FALSE)),"")</f>
      </c>
      <c r="FZ55" s="26">
        <f t="shared" si="238"/>
      </c>
      <c r="GA55" s="26">
        <f t="shared" si="81"/>
      </c>
      <c r="GC55" s="27">
        <f t="shared" si="190"/>
      </c>
      <c r="GD55" s="27">
        <f t="shared" si="191"/>
      </c>
      <c r="GE55" s="27">
        <f t="shared" si="239"/>
      </c>
      <c r="GF55" s="27">
        <f t="shared" si="240"/>
      </c>
      <c r="GG55" s="27">
        <f t="shared" si="241"/>
        <v>0</v>
      </c>
      <c r="GH55" s="26">
        <f t="shared" si="242"/>
        <v>0</v>
      </c>
      <c r="GI55" s="26">
        <f t="shared" si="243"/>
        <v>0</v>
      </c>
      <c r="GJ55" s="26">
        <f t="shared" si="244"/>
        <v>0</v>
      </c>
      <c r="GK55" s="26">
        <f t="shared" si="245"/>
      </c>
      <c r="GL55" s="28">
        <f t="shared" si="246"/>
      </c>
      <c r="GM55" s="26">
        <f t="shared" si="247"/>
      </c>
    </row>
    <row r="56" spans="1:195" ht="12.75">
      <c r="A56" s="132">
        <f t="shared" si="248"/>
        <v>46</v>
      </c>
      <c r="B56" s="133"/>
      <c r="C56" s="134"/>
      <c r="D56" s="135"/>
      <c r="E56" s="134"/>
      <c r="F56" s="134" t="s">
        <v>13</v>
      </c>
      <c r="G56" s="149"/>
      <c r="H56" s="136">
        <f t="shared" si="192"/>
      </c>
      <c r="I56" s="137">
        <f t="shared" si="193"/>
      </c>
      <c r="J56" s="137">
        <f>AD56+AO56+BA56+BM56+BY56+CK56+CW56+DI56+DU56+EG56-(MIN(EZ56:FI56)*$EY$2)</f>
        <v>0</v>
      </c>
      <c r="K56" s="140">
        <f ca="1">IF(I56&lt;&gt;"",RANK(I56,J$11:INDIRECT(J$7,FALSE)),"")</f>
      </c>
      <c r="L56" s="137">
        <f t="shared" si="194"/>
      </c>
      <c r="M56" s="137">
        <f t="shared" si="195"/>
        <v>0</v>
      </c>
      <c r="N56" s="138">
        <f t="shared" si="160"/>
      </c>
      <c r="O56" s="159"/>
      <c r="P56" s="160">
        <f t="shared" si="38"/>
      </c>
      <c r="Q56" s="161"/>
      <c r="R56" s="162">
        <f t="shared" si="39"/>
      </c>
      <c r="S56" s="162">
        <f t="shared" si="40"/>
        <v>0</v>
      </c>
      <c r="T56" s="163">
        <f ca="1">IF(OR(O56&lt;&gt;"",Q56&lt;&gt;""),RANK(S56,S$11:INDIRECT(S$7,FALSE)),"")</f>
      </c>
      <c r="U56" s="164"/>
      <c r="V56" s="165"/>
      <c r="W56" s="165"/>
      <c r="X56" s="166"/>
      <c r="Y56" s="167"/>
      <c r="Z56" s="228"/>
      <c r="AA56" s="113">
        <f t="shared" si="196"/>
      </c>
      <c r="AB56" s="21"/>
      <c r="AC56" s="114">
        <f t="shared" si="197"/>
      </c>
      <c r="AD56" s="114">
        <f t="shared" si="198"/>
        <v>0</v>
      </c>
      <c r="AE56" s="115">
        <f ca="1">IF(OR(Z56&lt;&gt;"",AB56&lt;&gt;""),RANK(AD56,AD$11:INDIRECT(AD$7,FALSE)),"")</f>
      </c>
      <c r="AF56" s="116"/>
      <c r="AG56" s="117">
        <f t="shared" si="199"/>
      </c>
      <c r="AH56" s="117">
        <f t="shared" si="200"/>
        <v>0</v>
      </c>
      <c r="AI56" s="118">
        <f ca="1">IF(OR(Z56&lt;&gt;"",AB56&lt;&gt;""),RANK(AH56,AH$11:INDIRECT(AH$7,FALSE)),"")</f>
      </c>
      <c r="AJ56" s="119"/>
      <c r="AK56" s="5"/>
      <c r="AL56" s="113">
        <f t="shared" si="201"/>
      </c>
      <c r="AM56" s="21"/>
      <c r="AN56" s="114">
        <f t="shared" si="202"/>
      </c>
      <c r="AO56" s="114">
        <f t="shared" si="203"/>
        <v>0</v>
      </c>
      <c r="AP56" s="115">
        <f ca="1">IF(OR(AK56&lt;&gt;"",AM56&lt;&gt;""),RANK(AO56,AO$11:INDIRECT(AO$7,FALSE)),"")</f>
      </c>
      <c r="AQ56" s="116"/>
      <c r="AR56" s="117">
        <f t="shared" si="161"/>
      </c>
      <c r="AS56" s="120">
        <f>IF(AND($F$8&lt;3,AR56&lt;&gt;""),HLOOKUP(MATCH(EQ56,EZ56:FA56,0),Discards,1,FALSE),"")</f>
      </c>
      <c r="AT56" s="117">
        <f t="shared" si="162"/>
        <v>0</v>
      </c>
      <c r="AU56" s="118">
        <f ca="1">IF(OR(AK56&lt;&gt;"",AM56&lt;&gt;""),RANK(AT56,AT$11:INDIRECT(AT$7,FALSE)),"")</f>
      </c>
      <c r="AV56" s="119"/>
      <c r="AW56" s="5"/>
      <c r="AX56" s="113">
        <f t="shared" si="163"/>
      </c>
      <c r="AY56" s="21"/>
      <c r="AZ56" s="114">
        <f t="shared" si="204"/>
      </c>
      <c r="BA56" s="114">
        <f t="shared" si="205"/>
        <v>0</v>
      </c>
      <c r="BB56" s="115">
        <f ca="1">IF(OR(AW56&lt;&gt;"",AY56&lt;&gt;""),RANK(BA56,BA$11:INDIRECT(BA$7,FALSE)),"")</f>
      </c>
      <c r="BC56" s="116"/>
      <c r="BD56" s="117">
        <f t="shared" si="164"/>
      </c>
      <c r="BE56" s="120">
        <f>IF(AND($F$8&lt;4,BD56&lt;&gt;""),HLOOKUP(MATCH(ER56,EZ56:FB56,0),Discards,1,FALSE),"")</f>
      </c>
      <c r="BF56" s="117">
        <f t="shared" si="206"/>
        <v>0</v>
      </c>
      <c r="BG56" s="118">
        <f ca="1">IF(OR(AW56&lt;&gt;"",AY56&lt;&gt;""),RANK(BF56,BF$11:INDIRECT(BF$7,FALSE)),"")</f>
      </c>
      <c r="BH56" s="119"/>
      <c r="BI56" s="5"/>
      <c r="BJ56" s="113">
        <f t="shared" si="165"/>
      </c>
      <c r="BK56" s="21"/>
      <c r="BL56" s="114">
        <f t="shared" si="207"/>
      </c>
      <c r="BM56" s="114">
        <f t="shared" si="208"/>
        <v>0</v>
      </c>
      <c r="BN56" s="115">
        <f ca="1">IF(OR(BI56&lt;&gt;"",BK56&lt;&gt;""),RANK(BM56,BM$11:INDIRECT(BM$7,FALSE)),"")</f>
      </c>
      <c r="BO56" s="116"/>
      <c r="BP56" s="117">
        <f t="shared" si="166"/>
      </c>
      <c r="BQ56" s="120">
        <f>IF(AND($F$8&lt;5,BP56&lt;&gt;""),HLOOKUP(MATCH(ES56,EZ56:FC56,0),Discards,1,FALSE),"")</f>
      </c>
      <c r="BR56" s="117">
        <f t="shared" si="209"/>
        <v>0</v>
      </c>
      <c r="BS56" s="118">
        <f ca="1">IF(OR(BI56&lt;&gt;"",BK56&lt;&gt;""),RANK(BR56,BR$11:INDIRECT(BR$7,FALSE)),"")</f>
      </c>
      <c r="BT56" s="119"/>
      <c r="BU56" s="5"/>
      <c r="BV56" s="113">
        <f t="shared" si="167"/>
      </c>
      <c r="BW56" s="21"/>
      <c r="BX56" s="114">
        <f t="shared" si="210"/>
      </c>
      <c r="BY56" s="114">
        <f t="shared" si="211"/>
        <v>0</v>
      </c>
      <c r="BZ56" s="115">
        <f ca="1">IF(OR(BU56&lt;&gt;"",BW56&lt;&gt;""),RANK(BY56,BY$11:INDIRECT(BY$7,FALSE)),"")</f>
      </c>
      <c r="CA56" s="116"/>
      <c r="CB56" s="117">
        <f t="shared" si="168"/>
      </c>
      <c r="CC56" s="120">
        <f>IF(AND($F$8&lt;6,CB56&lt;&gt;""),HLOOKUP(MATCH(ET56,EZ56:FD56,0),Discards,1,FALSE),"")</f>
      </c>
      <c r="CD56" s="117">
        <f t="shared" si="212"/>
        <v>0</v>
      </c>
      <c r="CE56" s="118">
        <f ca="1">IF(OR(BU56&lt;&gt;"",BW56&lt;&gt;""),RANK(CD56,CD$11:INDIRECT(CD$7,FALSE)),"")</f>
      </c>
      <c r="CF56" s="119"/>
      <c r="CG56" s="5"/>
      <c r="CH56" s="113">
        <f t="shared" si="169"/>
      </c>
      <c r="CI56" s="21"/>
      <c r="CJ56" s="114">
        <f t="shared" si="213"/>
      </c>
      <c r="CK56" s="114">
        <f t="shared" si="214"/>
        <v>0</v>
      </c>
      <c r="CL56" s="115">
        <f ca="1">IF(OR(CG56&lt;&gt;"",CI56&lt;&gt;""),RANK(CK56,CK$11:INDIRECT(CK$7,FALSE)),"")</f>
      </c>
      <c r="CM56" s="116"/>
      <c r="CN56" s="117">
        <f t="shared" si="170"/>
      </c>
      <c r="CO56" s="120">
        <f>IF(AND($F$8&lt;7,CN56&lt;&gt;""),HLOOKUP(MATCH(EU56,EZ56:FE56,0),Discards,1,FALSE),"")</f>
      </c>
      <c r="CP56" s="117">
        <f t="shared" si="215"/>
        <v>0</v>
      </c>
      <c r="CQ56" s="118">
        <f ca="1">IF(OR(CG56&lt;&gt;"",CI56&lt;&gt;""),RANK(CP56,CP$11:INDIRECT(CP$7,FALSE)),"")</f>
      </c>
      <c r="CR56" s="119"/>
      <c r="CS56" s="5"/>
      <c r="CT56" s="113">
        <f t="shared" si="171"/>
      </c>
      <c r="CU56" s="21"/>
      <c r="CV56" s="114">
        <f t="shared" si="216"/>
      </c>
      <c r="CW56" s="114">
        <f t="shared" si="217"/>
        <v>0</v>
      </c>
      <c r="CX56" s="115">
        <f ca="1">IF(OR(CS56&lt;&gt;"",CU56&lt;&gt;""),RANK(CW56,CW$11:INDIRECT(CW$7,FALSE)),"")</f>
      </c>
      <c r="CY56" s="116"/>
      <c r="CZ56" s="117">
        <f t="shared" si="172"/>
      </c>
      <c r="DA56" s="120">
        <f>IF(AND($F$8&lt;8,CZ56&lt;&gt;""),HLOOKUP(MATCH(EV56,EZ56:FF56,0),Discards,1,FALSE),"")</f>
      </c>
      <c r="DB56" s="117">
        <f t="shared" si="218"/>
        <v>0</v>
      </c>
      <c r="DC56" s="118">
        <f ca="1">IF(OR(CS56&lt;&gt;"",CU56&lt;&gt;""),RANK(DB56,DB$11:INDIRECT(DB$7,FALSE)),"")</f>
      </c>
      <c r="DD56" s="119"/>
      <c r="DE56" s="5"/>
      <c r="DF56" s="113">
        <f t="shared" si="173"/>
      </c>
      <c r="DG56" s="21"/>
      <c r="DH56" s="114">
        <f t="shared" si="219"/>
      </c>
      <c r="DI56" s="114">
        <f t="shared" si="220"/>
        <v>0</v>
      </c>
      <c r="DJ56" s="115">
        <f ca="1">IF(OR(DE56&lt;&gt;"",DG56&lt;&gt;""),RANK(DI56,DI$11:INDIRECT(DI$7,FALSE)),"")</f>
      </c>
      <c r="DK56" s="116"/>
      <c r="DL56" s="117">
        <f t="shared" si="174"/>
      </c>
      <c r="DM56" s="120">
        <f>IF(AND($F$8&lt;9,DL56&lt;&gt;""),HLOOKUP(MATCH(EW56,EZ56:FG56,0),Discards,1,FALSE),"")</f>
      </c>
      <c r="DN56" s="117">
        <f t="shared" si="221"/>
        <v>0</v>
      </c>
      <c r="DO56" s="118">
        <f ca="1">IF(OR(DE56&lt;&gt;"",DG56&lt;&gt;""),RANK(DN56,DN$11:INDIRECT(DN$7,FALSE)),"")</f>
      </c>
      <c r="DP56" s="119"/>
      <c r="DQ56" s="5"/>
      <c r="DR56" s="113">
        <f t="shared" si="175"/>
      </c>
      <c r="DS56" s="21"/>
      <c r="DT56" s="114">
        <f t="shared" si="222"/>
      </c>
      <c r="DU56" s="114">
        <f t="shared" si="223"/>
        <v>0</v>
      </c>
      <c r="DV56" s="115">
        <f ca="1">IF(OR(DQ56&lt;&gt;"",DS56&lt;&gt;""),RANK(DU56,DU$11:INDIRECT(DU$7,FALSE)),"")</f>
      </c>
      <c r="DW56" s="116"/>
      <c r="DX56" s="117">
        <f t="shared" si="176"/>
      </c>
      <c r="DY56" s="120">
        <f>IF(AND($F$8&lt;10,DX56&lt;&gt;""),HLOOKUP(MATCH(EX56,EZ56:FH56,0),Discards,1,FALSE),"")</f>
      </c>
      <c r="DZ56" s="117">
        <f t="shared" si="224"/>
        <v>0</v>
      </c>
      <c r="EA56" s="118">
        <f ca="1">IF(OR(DQ56&lt;&gt;"",DS56&lt;&gt;""),RANK(DZ56,DZ$11:INDIRECT(DZ$7,FALSE)),"")</f>
      </c>
      <c r="EB56" s="119"/>
      <c r="EC56" s="5"/>
      <c r="ED56" s="113">
        <f t="shared" si="177"/>
      </c>
      <c r="EE56" s="21"/>
      <c r="EF56" s="114">
        <f t="shared" si="225"/>
      </c>
      <c r="EG56" s="114">
        <f t="shared" si="226"/>
        <v>0</v>
      </c>
      <c r="EH56" s="115">
        <f ca="1">IF(OR(EC56&lt;&gt;"",EE56&lt;&gt;""),RANK(EG56,EG$11:INDIRECT(EG$7,FALSE)),"")</f>
      </c>
      <c r="EI56" s="116"/>
      <c r="EJ56" s="117">
        <f t="shared" si="178"/>
      </c>
      <c r="EK56" s="120">
        <f>IF(AND($F$8&lt;11,EJ56&lt;&gt;""),HLOOKUP(MATCH(EY56,EZ56:FI56,0),Discards,1,FALSE),"")</f>
      </c>
      <c r="EL56" s="117">
        <f t="shared" si="227"/>
        <v>0</v>
      </c>
      <c r="EM56" s="118">
        <f ca="1">IF(OR(EC56&lt;&gt;"",EE56&lt;&gt;""),RANK(EL56,EL$11:INDIRECT(EL$7,FALSE)),"")</f>
      </c>
      <c r="EN56" s="121"/>
      <c r="EP56" s="112">
        <f t="shared" si="228"/>
        <v>0</v>
      </c>
      <c r="EQ56" s="28">
        <f>MIN($EZ56:FA56)</f>
        <v>0</v>
      </c>
      <c r="ER56" s="28">
        <f>MIN($EZ56:FB56)</f>
        <v>0</v>
      </c>
      <c r="ES56" s="28">
        <f>MIN($EZ56:FC56)</f>
        <v>0</v>
      </c>
      <c r="ET56" s="28">
        <f>MIN($EZ56:FD56)</f>
        <v>0</v>
      </c>
      <c r="EU56" s="28">
        <f>MIN($EZ56:FE56)</f>
        <v>0</v>
      </c>
      <c r="EV56" s="28">
        <f>MIN($EZ56:FF56)</f>
        <v>0</v>
      </c>
      <c r="EW56" s="28">
        <f>MIN($EZ56:FG56)</f>
        <v>0</v>
      </c>
      <c r="EX56" s="28">
        <f>MIN($EZ56:FH56)</f>
        <v>0</v>
      </c>
      <c r="EY56" s="28">
        <f>MIN($EZ56:FI56)</f>
        <v>0</v>
      </c>
      <c r="EZ56" s="28">
        <f t="shared" si="179"/>
      </c>
      <c r="FA56" s="28">
        <f t="shared" si="180"/>
      </c>
      <c r="FB56" s="28">
        <f t="shared" si="181"/>
      </c>
      <c r="FC56" s="28">
        <f t="shared" si="182"/>
      </c>
      <c r="FD56" s="28">
        <f t="shared" si="183"/>
      </c>
      <c r="FE56" s="28">
        <f t="shared" si="184"/>
      </c>
      <c r="FF56" s="28">
        <f t="shared" si="185"/>
      </c>
      <c r="FG56" s="28">
        <f t="shared" si="186"/>
      </c>
      <c r="FH56" s="28">
        <f t="shared" si="187"/>
      </c>
      <c r="FI56" s="28">
        <f t="shared" si="188"/>
      </c>
      <c r="FL56" s="26">
        <f t="shared" si="229"/>
        <v>255000000</v>
      </c>
      <c r="FM56" s="26">
        <f t="shared" si="230"/>
        <v>255000</v>
      </c>
      <c r="FN56" s="26">
        <f t="shared" si="231"/>
        <v>255</v>
      </c>
      <c r="FO56" s="26">
        <f>IF(C56&lt;&gt;"",SUM(FL56:FN56),0)</f>
        <v>0</v>
      </c>
      <c r="FP56" s="26">
        <f ca="1">IF(FO56&gt;0,SMALL($FO$11:INDIRECT($FO$7,FALSE),A56),0)</f>
        <v>0</v>
      </c>
      <c r="FQ56" s="26">
        <f t="shared" si="232"/>
        <v>0</v>
      </c>
      <c r="FR56" s="26">
        <f t="shared" si="233"/>
        <v>0</v>
      </c>
      <c r="FS56" s="26">
        <f t="shared" si="234"/>
        <v>0</v>
      </c>
      <c r="FT56" s="26">
        <f t="shared" si="235"/>
      </c>
      <c r="FU56" s="26">
        <f t="shared" si="236"/>
        <v>24</v>
      </c>
      <c r="FV56" s="28">
        <f t="shared" si="189"/>
      </c>
      <c r="FW56" s="26">
        <f t="shared" si="249"/>
      </c>
      <c r="FX56" s="28">
        <f t="shared" si="237"/>
      </c>
      <c r="FY56" s="26">
        <f ca="1">IF(FX56&lt;&gt;"",RANK(FX56,FX$11:INDIRECT(FX$7,FALSE)),"")</f>
      </c>
      <c r="FZ56" s="26">
        <f t="shared" si="238"/>
      </c>
      <c r="GA56" s="26">
        <f t="shared" si="81"/>
      </c>
      <c r="GC56" s="27">
        <f t="shared" si="190"/>
      </c>
      <c r="GD56" s="27">
        <f t="shared" si="191"/>
      </c>
      <c r="GE56" s="27">
        <f t="shared" si="239"/>
      </c>
      <c r="GF56" s="27">
        <f t="shared" si="240"/>
      </c>
      <c r="GG56" s="27">
        <f t="shared" si="241"/>
        <v>0</v>
      </c>
      <c r="GH56" s="26">
        <f t="shared" si="242"/>
        <v>0</v>
      </c>
      <c r="GI56" s="26">
        <f t="shared" si="243"/>
        <v>0</v>
      </c>
      <c r="GJ56" s="26">
        <f t="shared" si="244"/>
        <v>0</v>
      </c>
      <c r="GK56" s="26">
        <f t="shared" si="245"/>
      </c>
      <c r="GL56" s="28">
        <f t="shared" si="246"/>
      </c>
      <c r="GM56" s="26">
        <f t="shared" si="247"/>
      </c>
    </row>
    <row r="57" spans="1:195" ht="12.75">
      <c r="A57" s="132">
        <f t="shared" si="248"/>
        <v>47</v>
      </c>
      <c r="B57" s="133"/>
      <c r="C57" s="134"/>
      <c r="D57" s="135"/>
      <c r="E57" s="134"/>
      <c r="F57" s="134" t="s">
        <v>13</v>
      </c>
      <c r="G57" s="149"/>
      <c r="H57" s="136">
        <f t="shared" si="192"/>
      </c>
      <c r="I57" s="137">
        <f t="shared" si="193"/>
      </c>
      <c r="J57" s="137">
        <f>AD57+AO57+BA57+BM57+BY57+CK57+CW57+DI57+DU57+EG57-(MIN(EZ57:FI57)*$EY$2)</f>
        <v>0</v>
      </c>
      <c r="K57" s="140">
        <f ca="1">IF(I57&lt;&gt;"",RANK(I57,J$11:INDIRECT(J$7,FALSE)),"")</f>
      </c>
      <c r="L57" s="137">
        <f t="shared" si="194"/>
      </c>
      <c r="M57" s="137">
        <f t="shared" si="195"/>
        <v>0</v>
      </c>
      <c r="N57" s="138">
        <f t="shared" si="160"/>
      </c>
      <c r="O57" s="159"/>
      <c r="P57" s="160">
        <f t="shared" si="38"/>
      </c>
      <c r="Q57" s="161"/>
      <c r="R57" s="162">
        <f t="shared" si="39"/>
      </c>
      <c r="S57" s="162">
        <f t="shared" si="40"/>
        <v>0</v>
      </c>
      <c r="T57" s="163">
        <f ca="1">IF(OR(O57&lt;&gt;"",Q57&lt;&gt;""),RANK(S57,S$11:INDIRECT(S$7,FALSE)),"")</f>
      </c>
      <c r="U57" s="164"/>
      <c r="V57" s="165"/>
      <c r="W57" s="165"/>
      <c r="X57" s="166"/>
      <c r="Y57" s="167"/>
      <c r="Z57" s="228"/>
      <c r="AA57" s="113">
        <f t="shared" si="196"/>
      </c>
      <c r="AB57" s="21"/>
      <c r="AC57" s="114">
        <f t="shared" si="197"/>
      </c>
      <c r="AD57" s="114">
        <f t="shared" si="198"/>
        <v>0</v>
      </c>
      <c r="AE57" s="115">
        <f ca="1">IF(OR(Z57&lt;&gt;"",AB57&lt;&gt;""),RANK(AD57,AD$11:INDIRECT(AD$7,FALSE)),"")</f>
      </c>
      <c r="AF57" s="116"/>
      <c r="AG57" s="117">
        <f t="shared" si="199"/>
      </c>
      <c r="AH57" s="117">
        <f t="shared" si="200"/>
        <v>0</v>
      </c>
      <c r="AI57" s="118">
        <f ca="1">IF(OR(Z57&lt;&gt;"",AB57&lt;&gt;""),RANK(AH57,AH$11:INDIRECT(AH$7,FALSE)),"")</f>
      </c>
      <c r="AJ57" s="119"/>
      <c r="AK57" s="5"/>
      <c r="AL57" s="113">
        <f t="shared" si="201"/>
      </c>
      <c r="AM57" s="21"/>
      <c r="AN57" s="114">
        <f t="shared" si="202"/>
      </c>
      <c r="AO57" s="114">
        <f t="shared" si="203"/>
        <v>0</v>
      </c>
      <c r="AP57" s="115">
        <f ca="1">IF(OR(AK57&lt;&gt;"",AM57&lt;&gt;""),RANK(AO57,AO$11:INDIRECT(AO$7,FALSE)),"")</f>
      </c>
      <c r="AQ57" s="116"/>
      <c r="AR57" s="117">
        <f t="shared" si="161"/>
      </c>
      <c r="AS57" s="120">
        <f>IF(AND($F$8&lt;3,AR57&lt;&gt;""),HLOOKUP(MATCH(EQ57,EZ57:FA57,0),Discards,1,FALSE),"")</f>
      </c>
      <c r="AT57" s="117">
        <f t="shared" si="162"/>
        <v>0</v>
      </c>
      <c r="AU57" s="118">
        <f ca="1">IF(OR(AK57&lt;&gt;"",AM57&lt;&gt;""),RANK(AT57,AT$11:INDIRECT(AT$7,FALSE)),"")</f>
      </c>
      <c r="AV57" s="119"/>
      <c r="AW57" s="5"/>
      <c r="AX57" s="113">
        <f t="shared" si="163"/>
      </c>
      <c r="AY57" s="21"/>
      <c r="AZ57" s="114">
        <f t="shared" si="204"/>
      </c>
      <c r="BA57" s="114">
        <f t="shared" si="205"/>
        <v>0</v>
      </c>
      <c r="BB57" s="115">
        <f ca="1">IF(OR(AW57&lt;&gt;"",AY57&lt;&gt;""),RANK(BA57,BA$11:INDIRECT(BA$7,FALSE)),"")</f>
      </c>
      <c r="BC57" s="116"/>
      <c r="BD57" s="117">
        <f t="shared" si="164"/>
      </c>
      <c r="BE57" s="120">
        <f>IF(AND($F$8&lt;4,BD57&lt;&gt;""),HLOOKUP(MATCH(ER57,EZ57:FB57,0),Discards,1,FALSE),"")</f>
      </c>
      <c r="BF57" s="117">
        <f t="shared" si="206"/>
        <v>0</v>
      </c>
      <c r="BG57" s="118">
        <f ca="1">IF(OR(AW57&lt;&gt;"",AY57&lt;&gt;""),RANK(BF57,BF$11:INDIRECT(BF$7,FALSE)),"")</f>
      </c>
      <c r="BH57" s="119"/>
      <c r="BI57" s="5"/>
      <c r="BJ57" s="113">
        <f t="shared" si="165"/>
      </c>
      <c r="BK57" s="21"/>
      <c r="BL57" s="114">
        <f t="shared" si="207"/>
      </c>
      <c r="BM57" s="114">
        <f t="shared" si="208"/>
        <v>0</v>
      </c>
      <c r="BN57" s="115">
        <f ca="1">IF(OR(BI57&lt;&gt;"",BK57&lt;&gt;""),RANK(BM57,BM$11:INDIRECT(BM$7,FALSE)),"")</f>
      </c>
      <c r="BO57" s="116"/>
      <c r="BP57" s="117">
        <f t="shared" si="166"/>
      </c>
      <c r="BQ57" s="120">
        <f>IF(AND($F$8&lt;5,BP57&lt;&gt;""),HLOOKUP(MATCH(ES57,EZ57:FC57,0),Discards,1,FALSE),"")</f>
      </c>
      <c r="BR57" s="117">
        <f t="shared" si="209"/>
        <v>0</v>
      </c>
      <c r="BS57" s="118">
        <f ca="1">IF(OR(BI57&lt;&gt;"",BK57&lt;&gt;""),RANK(BR57,BR$11:INDIRECT(BR$7,FALSE)),"")</f>
      </c>
      <c r="BT57" s="119"/>
      <c r="BU57" s="5"/>
      <c r="BV57" s="113">
        <f t="shared" si="167"/>
      </c>
      <c r="BW57" s="21"/>
      <c r="BX57" s="114">
        <f t="shared" si="210"/>
      </c>
      <c r="BY57" s="114">
        <f t="shared" si="211"/>
        <v>0</v>
      </c>
      <c r="BZ57" s="115">
        <f ca="1">IF(OR(BU57&lt;&gt;"",BW57&lt;&gt;""),RANK(BY57,BY$11:INDIRECT(BY$7,FALSE)),"")</f>
      </c>
      <c r="CA57" s="116"/>
      <c r="CB57" s="117">
        <f t="shared" si="168"/>
      </c>
      <c r="CC57" s="120">
        <f>IF(AND($F$8&lt;6,CB57&lt;&gt;""),HLOOKUP(MATCH(ET57,EZ57:FD57,0),Discards,1,FALSE),"")</f>
      </c>
      <c r="CD57" s="117">
        <f t="shared" si="212"/>
        <v>0</v>
      </c>
      <c r="CE57" s="118">
        <f ca="1">IF(OR(BU57&lt;&gt;"",BW57&lt;&gt;""),RANK(CD57,CD$11:INDIRECT(CD$7,FALSE)),"")</f>
      </c>
      <c r="CF57" s="119"/>
      <c r="CG57" s="5"/>
      <c r="CH57" s="113">
        <f t="shared" si="169"/>
      </c>
      <c r="CI57" s="21"/>
      <c r="CJ57" s="114">
        <f t="shared" si="213"/>
      </c>
      <c r="CK57" s="114">
        <f t="shared" si="214"/>
        <v>0</v>
      </c>
      <c r="CL57" s="115">
        <f ca="1">IF(OR(CG57&lt;&gt;"",CI57&lt;&gt;""),RANK(CK57,CK$11:INDIRECT(CK$7,FALSE)),"")</f>
      </c>
      <c r="CM57" s="116"/>
      <c r="CN57" s="117">
        <f t="shared" si="170"/>
      </c>
      <c r="CO57" s="120">
        <f>IF(AND($F$8&lt;7,CN57&lt;&gt;""),HLOOKUP(MATCH(EU57,EZ57:FE57,0),Discards,1,FALSE),"")</f>
      </c>
      <c r="CP57" s="117">
        <f t="shared" si="215"/>
        <v>0</v>
      </c>
      <c r="CQ57" s="118">
        <f ca="1">IF(OR(CG57&lt;&gt;"",CI57&lt;&gt;""),RANK(CP57,CP$11:INDIRECT(CP$7,FALSE)),"")</f>
      </c>
      <c r="CR57" s="119"/>
      <c r="CS57" s="5"/>
      <c r="CT57" s="113">
        <f t="shared" si="171"/>
      </c>
      <c r="CU57" s="21"/>
      <c r="CV57" s="114">
        <f t="shared" si="216"/>
      </c>
      <c r="CW57" s="114">
        <f t="shared" si="217"/>
        <v>0</v>
      </c>
      <c r="CX57" s="115">
        <f ca="1">IF(OR(CS57&lt;&gt;"",CU57&lt;&gt;""),RANK(CW57,CW$11:INDIRECT(CW$7,FALSE)),"")</f>
      </c>
      <c r="CY57" s="116"/>
      <c r="CZ57" s="117">
        <f t="shared" si="172"/>
      </c>
      <c r="DA57" s="120">
        <f>IF(AND($F$8&lt;8,CZ57&lt;&gt;""),HLOOKUP(MATCH(EV57,EZ57:FF57,0),Discards,1,FALSE),"")</f>
      </c>
      <c r="DB57" s="117">
        <f t="shared" si="218"/>
        <v>0</v>
      </c>
      <c r="DC57" s="118">
        <f ca="1">IF(OR(CS57&lt;&gt;"",CU57&lt;&gt;""),RANK(DB57,DB$11:INDIRECT(DB$7,FALSE)),"")</f>
      </c>
      <c r="DD57" s="119"/>
      <c r="DE57" s="5"/>
      <c r="DF57" s="113">
        <f t="shared" si="173"/>
      </c>
      <c r="DG57" s="21"/>
      <c r="DH57" s="114">
        <f t="shared" si="219"/>
      </c>
      <c r="DI57" s="114">
        <f t="shared" si="220"/>
        <v>0</v>
      </c>
      <c r="DJ57" s="115">
        <f ca="1">IF(OR(DE57&lt;&gt;"",DG57&lt;&gt;""),RANK(DI57,DI$11:INDIRECT(DI$7,FALSE)),"")</f>
      </c>
      <c r="DK57" s="116"/>
      <c r="DL57" s="117">
        <f t="shared" si="174"/>
      </c>
      <c r="DM57" s="120">
        <f>IF(AND($F$8&lt;9,DL57&lt;&gt;""),HLOOKUP(MATCH(EW57,EZ57:FG57,0),Discards,1,FALSE),"")</f>
      </c>
      <c r="DN57" s="117">
        <f t="shared" si="221"/>
        <v>0</v>
      </c>
      <c r="DO57" s="118">
        <f ca="1">IF(OR(DE57&lt;&gt;"",DG57&lt;&gt;""),RANK(DN57,DN$11:INDIRECT(DN$7,FALSE)),"")</f>
      </c>
      <c r="DP57" s="119"/>
      <c r="DQ57" s="5"/>
      <c r="DR57" s="113">
        <f t="shared" si="175"/>
      </c>
      <c r="DS57" s="21"/>
      <c r="DT57" s="114">
        <f t="shared" si="222"/>
      </c>
      <c r="DU57" s="114">
        <f t="shared" si="223"/>
        <v>0</v>
      </c>
      <c r="DV57" s="115">
        <f ca="1">IF(OR(DQ57&lt;&gt;"",DS57&lt;&gt;""),RANK(DU57,DU$11:INDIRECT(DU$7,FALSE)),"")</f>
      </c>
      <c r="DW57" s="116"/>
      <c r="DX57" s="117">
        <f t="shared" si="176"/>
      </c>
      <c r="DY57" s="120">
        <f>IF(AND($F$8&lt;10,DX57&lt;&gt;""),HLOOKUP(MATCH(EX57,EZ57:FH57,0),Discards,1,FALSE),"")</f>
      </c>
      <c r="DZ57" s="117">
        <f t="shared" si="224"/>
        <v>0</v>
      </c>
      <c r="EA57" s="118">
        <f ca="1">IF(OR(DQ57&lt;&gt;"",DS57&lt;&gt;""),RANK(DZ57,DZ$11:INDIRECT(DZ$7,FALSE)),"")</f>
      </c>
      <c r="EB57" s="119"/>
      <c r="EC57" s="5"/>
      <c r="ED57" s="113">
        <f t="shared" si="177"/>
      </c>
      <c r="EE57" s="21"/>
      <c r="EF57" s="114">
        <f t="shared" si="225"/>
      </c>
      <c r="EG57" s="114">
        <f t="shared" si="226"/>
        <v>0</v>
      </c>
      <c r="EH57" s="115">
        <f ca="1">IF(OR(EC57&lt;&gt;"",EE57&lt;&gt;""),RANK(EG57,EG$11:INDIRECT(EG$7,FALSE)),"")</f>
      </c>
      <c r="EI57" s="116"/>
      <c r="EJ57" s="117">
        <f t="shared" si="178"/>
      </c>
      <c r="EK57" s="120">
        <f>IF(AND($F$8&lt;11,EJ57&lt;&gt;""),HLOOKUP(MATCH(EY57,EZ57:FI57,0),Discards,1,FALSE),"")</f>
      </c>
      <c r="EL57" s="117">
        <f t="shared" si="227"/>
        <v>0</v>
      </c>
      <c r="EM57" s="118">
        <f ca="1">IF(OR(EC57&lt;&gt;"",EE57&lt;&gt;""),RANK(EL57,EL$11:INDIRECT(EL$7,FALSE)),"")</f>
      </c>
      <c r="EN57" s="121"/>
      <c r="EP57" s="112">
        <f t="shared" si="228"/>
        <v>0</v>
      </c>
      <c r="EQ57" s="28">
        <f>MIN($EZ57:FA57)</f>
        <v>0</v>
      </c>
      <c r="ER57" s="28">
        <f>MIN($EZ57:FB57)</f>
        <v>0</v>
      </c>
      <c r="ES57" s="28">
        <f>MIN($EZ57:FC57)</f>
        <v>0</v>
      </c>
      <c r="ET57" s="28">
        <f>MIN($EZ57:FD57)</f>
        <v>0</v>
      </c>
      <c r="EU57" s="28">
        <f>MIN($EZ57:FE57)</f>
        <v>0</v>
      </c>
      <c r="EV57" s="28">
        <f>MIN($EZ57:FF57)</f>
        <v>0</v>
      </c>
      <c r="EW57" s="28">
        <f>MIN($EZ57:FG57)</f>
        <v>0</v>
      </c>
      <c r="EX57" s="28">
        <f>MIN($EZ57:FH57)</f>
        <v>0</v>
      </c>
      <c r="EY57" s="28">
        <f>MIN($EZ57:FI57)</f>
        <v>0</v>
      </c>
      <c r="EZ57" s="28">
        <f t="shared" si="179"/>
      </c>
      <c r="FA57" s="28">
        <f t="shared" si="180"/>
      </c>
      <c r="FB57" s="28">
        <f t="shared" si="181"/>
      </c>
      <c r="FC57" s="28">
        <f t="shared" si="182"/>
      </c>
      <c r="FD57" s="28">
        <f t="shared" si="183"/>
      </c>
      <c r="FE57" s="28">
        <f t="shared" si="184"/>
      </c>
      <c r="FF57" s="28">
        <f t="shared" si="185"/>
      </c>
      <c r="FG57" s="28">
        <f t="shared" si="186"/>
      </c>
      <c r="FH57" s="28">
        <f t="shared" si="187"/>
      </c>
      <c r="FI57" s="28">
        <f t="shared" si="188"/>
      </c>
      <c r="FL57" s="26">
        <f t="shared" si="229"/>
        <v>255000000</v>
      </c>
      <c r="FM57" s="26">
        <f t="shared" si="230"/>
        <v>255000</v>
      </c>
      <c r="FN57" s="26">
        <f t="shared" si="231"/>
        <v>255</v>
      </c>
      <c r="FO57" s="26">
        <f>IF(C57&lt;&gt;"",SUM(FL57:FN57),0)</f>
        <v>0</v>
      </c>
      <c r="FP57" s="26">
        <f ca="1">IF(FO57&gt;0,SMALL($FO$11:INDIRECT($FO$7,FALSE),A57),0)</f>
        <v>0</v>
      </c>
      <c r="FQ57" s="26">
        <f t="shared" si="232"/>
        <v>0</v>
      </c>
      <c r="FR57" s="26">
        <f t="shared" si="233"/>
        <v>0</v>
      </c>
      <c r="FS57" s="26">
        <f t="shared" si="234"/>
        <v>0</v>
      </c>
      <c r="FT57" s="26">
        <f t="shared" si="235"/>
      </c>
      <c r="FU57" s="26">
        <f t="shared" si="236"/>
        <v>24</v>
      </c>
      <c r="FV57" s="28">
        <f t="shared" si="189"/>
      </c>
      <c r="FW57" s="26">
        <f t="shared" si="249"/>
      </c>
      <c r="FX57" s="28">
        <f t="shared" si="237"/>
      </c>
      <c r="FY57" s="26">
        <f ca="1">IF(FX57&lt;&gt;"",RANK(FX57,FX$11:INDIRECT(FX$7,FALSE)),"")</f>
      </c>
      <c r="FZ57" s="26">
        <f t="shared" si="238"/>
      </c>
      <c r="GA57" s="26">
        <f t="shared" si="81"/>
      </c>
      <c r="GC57" s="27">
        <f t="shared" si="190"/>
      </c>
      <c r="GD57" s="27">
        <f t="shared" si="191"/>
      </c>
      <c r="GE57" s="27">
        <f t="shared" si="239"/>
      </c>
      <c r="GF57" s="27">
        <f t="shared" si="240"/>
      </c>
      <c r="GG57" s="27">
        <f t="shared" si="241"/>
        <v>0</v>
      </c>
      <c r="GH57" s="26">
        <f t="shared" si="242"/>
        <v>0</v>
      </c>
      <c r="GI57" s="26">
        <f t="shared" si="243"/>
        <v>0</v>
      </c>
      <c r="GJ57" s="26">
        <f t="shared" si="244"/>
        <v>0</v>
      </c>
      <c r="GK57" s="26">
        <f t="shared" si="245"/>
      </c>
      <c r="GL57" s="28">
        <f t="shared" si="246"/>
      </c>
      <c r="GM57" s="26">
        <f t="shared" si="247"/>
      </c>
    </row>
    <row r="58" spans="1:195" ht="12.75">
      <c r="A58" s="132">
        <f t="shared" si="248"/>
        <v>48</v>
      </c>
      <c r="B58" s="133"/>
      <c r="C58" s="134"/>
      <c r="D58" s="135"/>
      <c r="E58" s="134"/>
      <c r="F58" s="134" t="s">
        <v>13</v>
      </c>
      <c r="G58" s="149"/>
      <c r="H58" s="136">
        <f t="shared" si="192"/>
      </c>
      <c r="I58" s="137">
        <f t="shared" si="193"/>
      </c>
      <c r="J58" s="137">
        <f>AD58+AO58+BA58+BM58+BY58+CK58+CW58+DI58+DU58+EG58-(MIN(EZ58:FI58)*$EY$2)</f>
        <v>0</v>
      </c>
      <c r="K58" s="140">
        <f ca="1">IF(I58&lt;&gt;"",RANK(I58,J$11:INDIRECT(J$7,FALSE)),"")</f>
      </c>
      <c r="L58" s="137">
        <f t="shared" si="194"/>
      </c>
      <c r="M58" s="137">
        <f t="shared" si="195"/>
        <v>0</v>
      </c>
      <c r="N58" s="138">
        <f t="shared" si="160"/>
      </c>
      <c r="O58" s="159"/>
      <c r="P58" s="160">
        <f t="shared" si="38"/>
      </c>
      <c r="Q58" s="161"/>
      <c r="R58" s="162">
        <f t="shared" si="39"/>
      </c>
      <c r="S58" s="162">
        <f t="shared" si="40"/>
        <v>0</v>
      </c>
      <c r="T58" s="163">
        <f ca="1">IF(OR(O58&lt;&gt;"",Q58&lt;&gt;""),RANK(S58,S$11:INDIRECT(S$7,FALSE)),"")</f>
      </c>
      <c r="U58" s="164"/>
      <c r="V58" s="165"/>
      <c r="W58" s="165"/>
      <c r="X58" s="166"/>
      <c r="Y58" s="167"/>
      <c r="Z58" s="228"/>
      <c r="AA58" s="113">
        <f t="shared" si="196"/>
      </c>
      <c r="AB58" s="21"/>
      <c r="AC58" s="114">
        <f t="shared" si="197"/>
      </c>
      <c r="AD58" s="114">
        <f t="shared" si="198"/>
        <v>0</v>
      </c>
      <c r="AE58" s="115">
        <f ca="1">IF(OR(Z58&lt;&gt;"",AB58&lt;&gt;""),RANK(AD58,AD$11:INDIRECT(AD$7,FALSE)),"")</f>
      </c>
      <c r="AF58" s="116"/>
      <c r="AG58" s="117">
        <f t="shared" si="199"/>
      </c>
      <c r="AH58" s="117">
        <f t="shared" si="200"/>
        <v>0</v>
      </c>
      <c r="AI58" s="118">
        <f ca="1">IF(OR(Z58&lt;&gt;"",AB58&lt;&gt;""),RANK(AH58,AH$11:INDIRECT(AH$7,FALSE)),"")</f>
      </c>
      <c r="AJ58" s="119"/>
      <c r="AK58" s="5"/>
      <c r="AL58" s="113">
        <f t="shared" si="201"/>
      </c>
      <c r="AM58" s="21"/>
      <c r="AN58" s="114">
        <f t="shared" si="202"/>
      </c>
      <c r="AO58" s="114">
        <f t="shared" si="203"/>
        <v>0</v>
      </c>
      <c r="AP58" s="115">
        <f ca="1">IF(OR(AK58&lt;&gt;"",AM58&lt;&gt;""),RANK(AO58,AO$11:INDIRECT(AO$7,FALSE)),"")</f>
      </c>
      <c r="AQ58" s="116"/>
      <c r="AR58" s="117">
        <f t="shared" si="161"/>
      </c>
      <c r="AS58" s="120">
        <f>IF(AND($F$8&lt;3,AR58&lt;&gt;""),HLOOKUP(MATCH(EQ58,EZ58:FA58,0),Discards,1,FALSE),"")</f>
      </c>
      <c r="AT58" s="117">
        <f t="shared" si="162"/>
        <v>0</v>
      </c>
      <c r="AU58" s="118">
        <f ca="1">IF(OR(AK58&lt;&gt;"",AM58&lt;&gt;""),RANK(AT58,AT$11:INDIRECT(AT$7,FALSE)),"")</f>
      </c>
      <c r="AV58" s="119"/>
      <c r="AW58" s="5"/>
      <c r="AX58" s="113">
        <f t="shared" si="163"/>
      </c>
      <c r="AY58" s="21"/>
      <c r="AZ58" s="114">
        <f t="shared" si="204"/>
      </c>
      <c r="BA58" s="114">
        <f t="shared" si="205"/>
        <v>0</v>
      </c>
      <c r="BB58" s="115">
        <f ca="1">IF(OR(AW58&lt;&gt;"",AY58&lt;&gt;""),RANK(BA58,BA$11:INDIRECT(BA$7,FALSE)),"")</f>
      </c>
      <c r="BC58" s="116"/>
      <c r="BD58" s="117">
        <f t="shared" si="164"/>
      </c>
      <c r="BE58" s="120">
        <f>IF(AND($F$8&lt;4,BD58&lt;&gt;""),HLOOKUP(MATCH(ER58,EZ58:FB58,0),Discards,1,FALSE),"")</f>
      </c>
      <c r="BF58" s="117">
        <f t="shared" si="206"/>
        <v>0</v>
      </c>
      <c r="BG58" s="118">
        <f ca="1">IF(OR(AW58&lt;&gt;"",AY58&lt;&gt;""),RANK(BF58,BF$11:INDIRECT(BF$7,FALSE)),"")</f>
      </c>
      <c r="BH58" s="119"/>
      <c r="BI58" s="5"/>
      <c r="BJ58" s="113">
        <f t="shared" si="165"/>
      </c>
      <c r="BK58" s="21"/>
      <c r="BL58" s="114">
        <f t="shared" si="207"/>
      </c>
      <c r="BM58" s="114">
        <f t="shared" si="208"/>
        <v>0</v>
      </c>
      <c r="BN58" s="115">
        <f ca="1">IF(OR(BI58&lt;&gt;"",BK58&lt;&gt;""),RANK(BM58,BM$11:INDIRECT(BM$7,FALSE)),"")</f>
      </c>
      <c r="BO58" s="116"/>
      <c r="BP58" s="117">
        <f t="shared" si="166"/>
      </c>
      <c r="BQ58" s="120">
        <f>IF(AND($F$8&lt;5,BP58&lt;&gt;""),HLOOKUP(MATCH(ES58,EZ58:FC58,0),Discards,1,FALSE),"")</f>
      </c>
      <c r="BR58" s="117">
        <f t="shared" si="209"/>
        <v>0</v>
      </c>
      <c r="BS58" s="118">
        <f ca="1">IF(OR(BI58&lt;&gt;"",BK58&lt;&gt;""),RANK(BR58,BR$11:INDIRECT(BR$7,FALSE)),"")</f>
      </c>
      <c r="BT58" s="119"/>
      <c r="BU58" s="5"/>
      <c r="BV58" s="113">
        <f t="shared" si="167"/>
      </c>
      <c r="BW58" s="21"/>
      <c r="BX58" s="114">
        <f t="shared" si="210"/>
      </c>
      <c r="BY58" s="114">
        <f t="shared" si="211"/>
        <v>0</v>
      </c>
      <c r="BZ58" s="115">
        <f ca="1">IF(OR(BU58&lt;&gt;"",BW58&lt;&gt;""),RANK(BY58,BY$11:INDIRECT(BY$7,FALSE)),"")</f>
      </c>
      <c r="CA58" s="116"/>
      <c r="CB58" s="117">
        <f t="shared" si="168"/>
      </c>
      <c r="CC58" s="120">
        <f>IF(AND($F$8&lt;6,CB58&lt;&gt;""),HLOOKUP(MATCH(ET58,EZ58:FD58,0),Discards,1,FALSE),"")</f>
      </c>
      <c r="CD58" s="117">
        <f t="shared" si="212"/>
        <v>0</v>
      </c>
      <c r="CE58" s="118">
        <f ca="1">IF(OR(BU58&lt;&gt;"",BW58&lt;&gt;""),RANK(CD58,CD$11:INDIRECT(CD$7,FALSE)),"")</f>
      </c>
      <c r="CF58" s="119"/>
      <c r="CG58" s="5"/>
      <c r="CH58" s="113">
        <f t="shared" si="169"/>
      </c>
      <c r="CI58" s="21"/>
      <c r="CJ58" s="114">
        <f t="shared" si="213"/>
      </c>
      <c r="CK58" s="114">
        <f t="shared" si="214"/>
        <v>0</v>
      </c>
      <c r="CL58" s="115">
        <f ca="1">IF(OR(CG58&lt;&gt;"",CI58&lt;&gt;""),RANK(CK58,CK$11:INDIRECT(CK$7,FALSE)),"")</f>
      </c>
      <c r="CM58" s="116"/>
      <c r="CN58" s="117">
        <f t="shared" si="170"/>
      </c>
      <c r="CO58" s="120">
        <f>IF(AND($F$8&lt;7,CN58&lt;&gt;""),HLOOKUP(MATCH(EU58,EZ58:FE58,0),Discards,1,FALSE),"")</f>
      </c>
      <c r="CP58" s="117">
        <f t="shared" si="215"/>
        <v>0</v>
      </c>
      <c r="CQ58" s="118">
        <f ca="1">IF(OR(CG58&lt;&gt;"",CI58&lt;&gt;""),RANK(CP58,CP$11:INDIRECT(CP$7,FALSE)),"")</f>
      </c>
      <c r="CR58" s="119"/>
      <c r="CS58" s="5"/>
      <c r="CT58" s="113">
        <f t="shared" si="171"/>
      </c>
      <c r="CU58" s="21"/>
      <c r="CV58" s="114">
        <f t="shared" si="216"/>
      </c>
      <c r="CW58" s="114">
        <f t="shared" si="217"/>
        <v>0</v>
      </c>
      <c r="CX58" s="115">
        <f ca="1">IF(OR(CS58&lt;&gt;"",CU58&lt;&gt;""),RANK(CW58,CW$11:INDIRECT(CW$7,FALSE)),"")</f>
      </c>
      <c r="CY58" s="116"/>
      <c r="CZ58" s="117">
        <f t="shared" si="172"/>
      </c>
      <c r="DA58" s="120">
        <f>IF(AND($F$8&lt;8,CZ58&lt;&gt;""),HLOOKUP(MATCH(EV58,EZ58:FF58,0),Discards,1,FALSE),"")</f>
      </c>
      <c r="DB58" s="117">
        <f t="shared" si="218"/>
        <v>0</v>
      </c>
      <c r="DC58" s="118">
        <f ca="1">IF(OR(CS58&lt;&gt;"",CU58&lt;&gt;""),RANK(DB58,DB$11:INDIRECT(DB$7,FALSE)),"")</f>
      </c>
      <c r="DD58" s="119"/>
      <c r="DE58" s="5"/>
      <c r="DF58" s="113">
        <f t="shared" si="173"/>
      </c>
      <c r="DG58" s="21"/>
      <c r="DH58" s="114">
        <f t="shared" si="219"/>
      </c>
      <c r="DI58" s="114">
        <f t="shared" si="220"/>
        <v>0</v>
      </c>
      <c r="DJ58" s="115">
        <f ca="1">IF(OR(DE58&lt;&gt;"",DG58&lt;&gt;""),RANK(DI58,DI$11:INDIRECT(DI$7,FALSE)),"")</f>
      </c>
      <c r="DK58" s="116"/>
      <c r="DL58" s="117">
        <f t="shared" si="174"/>
      </c>
      <c r="DM58" s="120">
        <f>IF(AND($F$8&lt;9,DL58&lt;&gt;""),HLOOKUP(MATCH(EW58,EZ58:FG58,0),Discards,1,FALSE),"")</f>
      </c>
      <c r="DN58" s="117">
        <f t="shared" si="221"/>
        <v>0</v>
      </c>
      <c r="DO58" s="118">
        <f ca="1">IF(OR(DE58&lt;&gt;"",DG58&lt;&gt;""),RANK(DN58,DN$11:INDIRECT(DN$7,FALSE)),"")</f>
      </c>
      <c r="DP58" s="119"/>
      <c r="DQ58" s="5"/>
      <c r="DR58" s="113">
        <f t="shared" si="175"/>
      </c>
      <c r="DS58" s="21"/>
      <c r="DT58" s="114">
        <f t="shared" si="222"/>
      </c>
      <c r="DU58" s="114">
        <f t="shared" si="223"/>
        <v>0</v>
      </c>
      <c r="DV58" s="115">
        <f ca="1">IF(OR(DQ58&lt;&gt;"",DS58&lt;&gt;""),RANK(DU58,DU$11:INDIRECT(DU$7,FALSE)),"")</f>
      </c>
      <c r="DW58" s="116"/>
      <c r="DX58" s="117">
        <f t="shared" si="176"/>
      </c>
      <c r="DY58" s="120">
        <f>IF(AND($F$8&lt;10,DX58&lt;&gt;""),HLOOKUP(MATCH(EX58,EZ58:FH58,0),Discards,1,FALSE),"")</f>
      </c>
      <c r="DZ58" s="117">
        <f t="shared" si="224"/>
        <v>0</v>
      </c>
      <c r="EA58" s="118">
        <f ca="1">IF(OR(DQ58&lt;&gt;"",DS58&lt;&gt;""),RANK(DZ58,DZ$11:INDIRECT(DZ$7,FALSE)),"")</f>
      </c>
      <c r="EB58" s="119"/>
      <c r="EC58" s="5"/>
      <c r="ED58" s="113">
        <f t="shared" si="177"/>
      </c>
      <c r="EE58" s="21"/>
      <c r="EF58" s="114">
        <f t="shared" si="225"/>
      </c>
      <c r="EG58" s="114">
        <f t="shared" si="226"/>
        <v>0</v>
      </c>
      <c r="EH58" s="115">
        <f ca="1">IF(OR(EC58&lt;&gt;"",EE58&lt;&gt;""),RANK(EG58,EG$11:INDIRECT(EG$7,FALSE)),"")</f>
      </c>
      <c r="EI58" s="116"/>
      <c r="EJ58" s="117">
        <f t="shared" si="178"/>
      </c>
      <c r="EK58" s="120">
        <f>IF(AND($F$8&lt;11,EJ58&lt;&gt;""),HLOOKUP(MATCH(EY58,EZ58:FI58,0),Discards,1,FALSE),"")</f>
      </c>
      <c r="EL58" s="117">
        <f t="shared" si="227"/>
        <v>0</v>
      </c>
      <c r="EM58" s="118">
        <f ca="1">IF(OR(EC58&lt;&gt;"",EE58&lt;&gt;""),RANK(EL58,EL$11:INDIRECT(EL$7,FALSE)),"")</f>
      </c>
      <c r="EN58" s="121"/>
      <c r="EP58" s="112">
        <f t="shared" si="228"/>
        <v>0</v>
      </c>
      <c r="EQ58" s="28">
        <f>MIN($EZ58:FA58)</f>
        <v>0</v>
      </c>
      <c r="ER58" s="28">
        <f>MIN($EZ58:FB58)</f>
        <v>0</v>
      </c>
      <c r="ES58" s="28">
        <f>MIN($EZ58:FC58)</f>
        <v>0</v>
      </c>
      <c r="ET58" s="28">
        <f>MIN($EZ58:FD58)</f>
        <v>0</v>
      </c>
      <c r="EU58" s="28">
        <f>MIN($EZ58:FE58)</f>
        <v>0</v>
      </c>
      <c r="EV58" s="28">
        <f>MIN($EZ58:FF58)</f>
        <v>0</v>
      </c>
      <c r="EW58" s="28">
        <f>MIN($EZ58:FG58)</f>
        <v>0</v>
      </c>
      <c r="EX58" s="28">
        <f>MIN($EZ58:FH58)</f>
        <v>0</v>
      </c>
      <c r="EY58" s="28">
        <f>MIN($EZ58:FI58)</f>
        <v>0</v>
      </c>
      <c r="EZ58" s="28">
        <f t="shared" si="179"/>
      </c>
      <c r="FA58" s="28">
        <f t="shared" si="180"/>
      </c>
      <c r="FB58" s="28">
        <f t="shared" si="181"/>
      </c>
      <c r="FC58" s="28">
        <f t="shared" si="182"/>
      </c>
      <c r="FD58" s="28">
        <f t="shared" si="183"/>
      </c>
      <c r="FE58" s="28">
        <f t="shared" si="184"/>
      </c>
      <c r="FF58" s="28">
        <f t="shared" si="185"/>
      </c>
      <c r="FG58" s="28">
        <f t="shared" si="186"/>
      </c>
      <c r="FH58" s="28">
        <f t="shared" si="187"/>
      </c>
      <c r="FI58" s="28">
        <f t="shared" si="188"/>
      </c>
      <c r="FL58" s="26">
        <f t="shared" si="229"/>
        <v>255000000</v>
      </c>
      <c r="FM58" s="26">
        <f t="shared" si="230"/>
        <v>255000</v>
      </c>
      <c r="FN58" s="26">
        <f t="shared" si="231"/>
        <v>255</v>
      </c>
      <c r="FO58" s="26">
        <f>IF(C58&lt;&gt;"",SUM(FL58:FN58),0)</f>
        <v>0</v>
      </c>
      <c r="FP58" s="26">
        <f ca="1">IF(FO58&gt;0,SMALL($FO$11:INDIRECT($FO$7,FALSE),A58),0)</f>
        <v>0</v>
      </c>
      <c r="FQ58" s="26">
        <f t="shared" si="232"/>
        <v>0</v>
      </c>
      <c r="FR58" s="26">
        <f t="shared" si="233"/>
        <v>0</v>
      </c>
      <c r="FS58" s="26">
        <f t="shared" si="234"/>
        <v>0</v>
      </c>
      <c r="FT58" s="26">
        <f t="shared" si="235"/>
      </c>
      <c r="FU58" s="26">
        <f t="shared" si="236"/>
        <v>24</v>
      </c>
      <c r="FV58" s="28">
        <f t="shared" si="189"/>
      </c>
      <c r="FW58" s="26">
        <f t="shared" si="249"/>
      </c>
      <c r="FX58" s="28">
        <f t="shared" si="237"/>
      </c>
      <c r="FY58" s="26">
        <f ca="1">IF(FX58&lt;&gt;"",RANK(FX58,FX$11:INDIRECT(FX$7,FALSE)),"")</f>
      </c>
      <c r="FZ58" s="26">
        <f t="shared" si="238"/>
      </c>
      <c r="GA58" s="26">
        <f t="shared" si="81"/>
      </c>
      <c r="GC58" s="27">
        <f t="shared" si="190"/>
      </c>
      <c r="GD58" s="27">
        <f t="shared" si="191"/>
      </c>
      <c r="GE58" s="27">
        <f t="shared" si="239"/>
      </c>
      <c r="GF58" s="27">
        <f t="shared" si="240"/>
      </c>
      <c r="GG58" s="27">
        <f t="shared" si="241"/>
        <v>0</v>
      </c>
      <c r="GH58" s="26">
        <f t="shared" si="242"/>
        <v>0</v>
      </c>
      <c r="GI58" s="26">
        <f t="shared" si="243"/>
        <v>0</v>
      </c>
      <c r="GJ58" s="26">
        <f t="shared" si="244"/>
        <v>0</v>
      </c>
      <c r="GK58" s="26">
        <f t="shared" si="245"/>
      </c>
      <c r="GL58" s="28">
        <f t="shared" si="246"/>
      </c>
      <c r="GM58" s="26">
        <f t="shared" si="247"/>
      </c>
    </row>
    <row r="59" spans="1:195" ht="12.75">
      <c r="A59" s="16">
        <f t="shared" si="248"/>
        <v>49</v>
      </c>
      <c r="B59" s="17"/>
      <c r="C59" s="18"/>
      <c r="D59" s="19"/>
      <c r="E59" s="18"/>
      <c r="F59" s="18" t="s">
        <v>13</v>
      </c>
      <c r="G59" s="148"/>
      <c r="H59" s="122">
        <f t="shared" si="192"/>
      </c>
      <c r="I59" s="30">
        <f t="shared" si="193"/>
      </c>
      <c r="J59" s="30">
        <f>AD59+AO59+BA59+BM59+BY59+CK59+CW59+DI59+DU59+EG59-(MIN(EZ59:FI59)*$EY$2)</f>
        <v>0</v>
      </c>
      <c r="K59" s="139">
        <f ca="1">IF(I59&lt;&gt;"",RANK(I59,J$11:INDIRECT(J$7,FALSE)),"")</f>
      </c>
      <c r="L59" s="102">
        <f t="shared" si="194"/>
      </c>
      <c r="M59" s="102">
        <f t="shared" si="195"/>
        <v>0</v>
      </c>
      <c r="N59" s="51">
        <f t="shared" si="160"/>
      </c>
      <c r="O59" s="150"/>
      <c r="P59" s="151">
        <f t="shared" si="38"/>
      </c>
      <c r="Q59" s="152"/>
      <c r="R59" s="153">
        <f t="shared" si="39"/>
      </c>
      <c r="S59" s="153">
        <f t="shared" si="40"/>
        <v>0</v>
      </c>
      <c r="T59" s="154">
        <f ca="1">IF(OR(O59&lt;&gt;"",Q59&lt;&gt;""),RANK(S59,S$11:INDIRECT(S$7,FALSE)),"")</f>
      </c>
      <c r="U59" s="155"/>
      <c r="V59" s="156"/>
      <c r="W59" s="156"/>
      <c r="X59" s="157"/>
      <c r="Y59" s="158"/>
      <c r="Z59" s="227"/>
      <c r="AA59" s="103">
        <f t="shared" si="196"/>
      </c>
      <c r="AB59" s="20"/>
      <c r="AC59" s="104">
        <f t="shared" si="197"/>
      </c>
      <c r="AD59" s="104">
        <f t="shared" si="198"/>
        <v>0</v>
      </c>
      <c r="AE59" s="105">
        <f ca="1">IF(OR(Z59&lt;&gt;"",AB59&lt;&gt;""),RANK(AD59,AD$11:INDIRECT(AD$7,FALSE)),"")</f>
      </c>
      <c r="AF59" s="106"/>
      <c r="AG59" s="107">
        <f t="shared" si="199"/>
      </c>
      <c r="AH59" s="107">
        <f t="shared" si="200"/>
        <v>0</v>
      </c>
      <c r="AI59" s="108">
        <f ca="1">IF(OR(Z59&lt;&gt;"",AB59&lt;&gt;""),RANK(AH59,AH$11:INDIRECT(AH$7,FALSE)),"")</f>
      </c>
      <c r="AJ59" s="109"/>
      <c r="AK59" s="4"/>
      <c r="AL59" s="103">
        <f t="shared" si="201"/>
      </c>
      <c r="AM59" s="20"/>
      <c r="AN59" s="104">
        <f t="shared" si="202"/>
      </c>
      <c r="AO59" s="104">
        <f t="shared" si="203"/>
        <v>0</v>
      </c>
      <c r="AP59" s="105">
        <f ca="1">IF(OR(AK59&lt;&gt;"",AM59&lt;&gt;""),RANK(AO59,AO$11:INDIRECT(AO$7,FALSE)),"")</f>
      </c>
      <c r="AQ59" s="106"/>
      <c r="AR59" s="107">
        <f t="shared" si="161"/>
      </c>
      <c r="AS59" s="110">
        <f>IF(AND($F$8&lt;3,AR59&lt;&gt;""),HLOOKUP(MATCH(EQ59,EZ59:FA59,0),Discards,1,FALSE),"")</f>
      </c>
      <c r="AT59" s="107">
        <f t="shared" si="162"/>
        <v>0</v>
      </c>
      <c r="AU59" s="108">
        <f ca="1">IF(OR(AK59&lt;&gt;"",AM59&lt;&gt;""),RANK(AT59,AT$11:INDIRECT(AT$7,FALSE)),"")</f>
      </c>
      <c r="AV59" s="109"/>
      <c r="AW59" s="4"/>
      <c r="AX59" s="103">
        <f>IF(AW59,AW59,"")</f>
      </c>
      <c r="AY59" s="20"/>
      <c r="AZ59" s="104">
        <f t="shared" si="204"/>
      </c>
      <c r="BA59" s="104">
        <f t="shared" si="205"/>
        <v>0</v>
      </c>
      <c r="BB59" s="105">
        <f ca="1">IF(OR(AW59&lt;&gt;"",AY59&lt;&gt;""),RANK(BA59,BA$11:INDIRECT(BA$7,FALSE)),"")</f>
      </c>
      <c r="BC59" s="106"/>
      <c r="BD59" s="107">
        <f t="shared" si="164"/>
      </c>
      <c r="BE59" s="110">
        <f>IF(AND($F$8&lt;4,BD59&lt;&gt;""),HLOOKUP(MATCH(ER59,EZ59:FB59,0),Discards,1,FALSE),"")</f>
      </c>
      <c r="BF59" s="107">
        <f t="shared" si="206"/>
        <v>0</v>
      </c>
      <c r="BG59" s="108">
        <f ca="1">IF(OR(AW59&lt;&gt;"",AY59&lt;&gt;""),RANK(BF59,BF$11:INDIRECT(BF$7,FALSE)),"")</f>
      </c>
      <c r="BH59" s="109"/>
      <c r="BI59" s="4"/>
      <c r="BJ59" s="103">
        <f>IF(BI59,BI59,"")</f>
      </c>
      <c r="BK59" s="20"/>
      <c r="BL59" s="104">
        <f t="shared" si="207"/>
      </c>
      <c r="BM59" s="104">
        <f t="shared" si="208"/>
        <v>0</v>
      </c>
      <c r="BN59" s="105">
        <f ca="1">IF(OR(BI59&lt;&gt;"",BK59&lt;&gt;""),RANK(BM59,BM$11:INDIRECT(BM$7,FALSE)),"")</f>
      </c>
      <c r="BO59" s="106"/>
      <c r="BP59" s="107">
        <f t="shared" si="166"/>
      </c>
      <c r="BQ59" s="110">
        <f>IF(AND($F$8&lt;5,BP59&lt;&gt;""),HLOOKUP(MATCH(ES59,EZ59:FC59,0),Discards,1,FALSE),"")</f>
      </c>
      <c r="BR59" s="107">
        <f t="shared" si="209"/>
        <v>0</v>
      </c>
      <c r="BS59" s="108">
        <f ca="1">IF(OR(BI59&lt;&gt;"",BK59&lt;&gt;""),RANK(BR59,BR$11:INDIRECT(BR$7,FALSE)),"")</f>
      </c>
      <c r="BT59" s="109"/>
      <c r="BU59" s="4"/>
      <c r="BV59" s="103">
        <f>IF(BU59,BU59,"")</f>
      </c>
      <c r="BW59" s="20"/>
      <c r="BX59" s="104">
        <f t="shared" si="210"/>
      </c>
      <c r="BY59" s="104">
        <f t="shared" si="211"/>
        <v>0</v>
      </c>
      <c r="BZ59" s="105">
        <f ca="1">IF(OR(BU59&lt;&gt;"",BW59&lt;&gt;""),RANK(BY59,BY$11:INDIRECT(BY$7,FALSE)),"")</f>
      </c>
      <c r="CA59" s="106"/>
      <c r="CB59" s="107">
        <f t="shared" si="168"/>
      </c>
      <c r="CC59" s="110">
        <f>IF(AND($F$8&lt;6,CB59&lt;&gt;""),HLOOKUP(MATCH(ET59,EZ59:FD59,0),Discards,1,FALSE),"")</f>
      </c>
      <c r="CD59" s="107">
        <f t="shared" si="212"/>
        <v>0</v>
      </c>
      <c r="CE59" s="108">
        <f ca="1">IF(OR(BU59&lt;&gt;"",BW59&lt;&gt;""),RANK(CD59,CD$11:INDIRECT(CD$7,FALSE)),"")</f>
      </c>
      <c r="CF59" s="109"/>
      <c r="CG59" s="4"/>
      <c r="CH59" s="103">
        <f>IF(CG59,CG59,"")</f>
      </c>
      <c r="CI59" s="20"/>
      <c r="CJ59" s="104">
        <f t="shared" si="213"/>
      </c>
      <c r="CK59" s="104">
        <f t="shared" si="214"/>
        <v>0</v>
      </c>
      <c r="CL59" s="105">
        <f ca="1">IF(OR(CG59&lt;&gt;"",CI59&lt;&gt;""),RANK(CK59,CK$11:INDIRECT(CK$7,FALSE)),"")</f>
      </c>
      <c r="CM59" s="106"/>
      <c r="CN59" s="107">
        <f t="shared" si="170"/>
      </c>
      <c r="CO59" s="110">
        <f>IF(AND($F$8&lt;7,CN59&lt;&gt;""),HLOOKUP(MATCH(EU59,EZ59:FE59,0),Discards,1,FALSE),"")</f>
      </c>
      <c r="CP59" s="107">
        <f t="shared" si="215"/>
        <v>0</v>
      </c>
      <c r="CQ59" s="108">
        <f ca="1">IF(OR(CG59&lt;&gt;"",CI59&lt;&gt;""),RANK(CP59,CP$11:INDIRECT(CP$7,FALSE)),"")</f>
      </c>
      <c r="CR59" s="109"/>
      <c r="CS59" s="4"/>
      <c r="CT59" s="103">
        <f>IF(CS59,CS59,"")</f>
      </c>
      <c r="CU59" s="20"/>
      <c r="CV59" s="104">
        <f t="shared" si="216"/>
      </c>
      <c r="CW59" s="104">
        <f t="shared" si="217"/>
        <v>0</v>
      </c>
      <c r="CX59" s="105">
        <f ca="1">IF(OR(CS59&lt;&gt;"",CU59&lt;&gt;""),RANK(CW59,CW$11:INDIRECT(CW$7,FALSE)),"")</f>
      </c>
      <c r="CY59" s="106"/>
      <c r="CZ59" s="107">
        <f t="shared" si="172"/>
      </c>
      <c r="DA59" s="110">
        <f>IF(AND($F$8&lt;8,CZ59&lt;&gt;""),HLOOKUP(MATCH(EV59,EZ59:FF59,0),Discards,1,FALSE),"")</f>
      </c>
      <c r="DB59" s="107">
        <f t="shared" si="218"/>
        <v>0</v>
      </c>
      <c r="DC59" s="108">
        <f ca="1">IF(OR(CS59&lt;&gt;"",CU59&lt;&gt;""),RANK(DB59,DB$11:INDIRECT(DB$7,FALSE)),"")</f>
      </c>
      <c r="DD59" s="109"/>
      <c r="DE59" s="4"/>
      <c r="DF59" s="103">
        <f>IF(DE59,DE59,"")</f>
      </c>
      <c r="DG59" s="20"/>
      <c r="DH59" s="104">
        <f t="shared" si="219"/>
      </c>
      <c r="DI59" s="104">
        <f t="shared" si="220"/>
        <v>0</v>
      </c>
      <c r="DJ59" s="105">
        <f ca="1">IF(OR(DE59&lt;&gt;"",DG59&lt;&gt;""),RANK(DI59,DI$11:INDIRECT(DI$7,FALSE)),"")</f>
      </c>
      <c r="DK59" s="106"/>
      <c r="DL59" s="107">
        <f t="shared" si="174"/>
      </c>
      <c r="DM59" s="110">
        <f>IF(AND($F$8&lt;9,DL59&lt;&gt;""),HLOOKUP(MATCH(EW59,EZ59:FG59,0),Discards,1,FALSE),"")</f>
      </c>
      <c r="DN59" s="107">
        <f t="shared" si="221"/>
        <v>0</v>
      </c>
      <c r="DO59" s="108">
        <f ca="1">IF(OR(DE59&lt;&gt;"",DG59&lt;&gt;""),RANK(DN59,DN$11:INDIRECT(DN$7,FALSE)),"")</f>
      </c>
      <c r="DP59" s="109"/>
      <c r="DQ59" s="4"/>
      <c r="DR59" s="103">
        <f>IF(DQ59,DQ59,"")</f>
      </c>
      <c r="DS59" s="20"/>
      <c r="DT59" s="104">
        <f t="shared" si="222"/>
      </c>
      <c r="DU59" s="104">
        <f t="shared" si="223"/>
        <v>0</v>
      </c>
      <c r="DV59" s="105">
        <f ca="1">IF(OR(DQ59&lt;&gt;"",DS59&lt;&gt;""),RANK(DU59,DU$11:INDIRECT(DU$7,FALSE)),"")</f>
      </c>
      <c r="DW59" s="106"/>
      <c r="DX59" s="107">
        <f t="shared" si="176"/>
      </c>
      <c r="DY59" s="110">
        <f>IF(AND($F$8&lt;10,DX59&lt;&gt;""),HLOOKUP(MATCH(EX59,EZ59:FH59,0),Discards,1,FALSE),"")</f>
      </c>
      <c r="DZ59" s="107">
        <f t="shared" si="224"/>
        <v>0</v>
      </c>
      <c r="EA59" s="108">
        <f ca="1">IF(OR(DQ59&lt;&gt;"",DS59&lt;&gt;""),RANK(DZ59,DZ$11:INDIRECT(DZ$7,FALSE)),"")</f>
      </c>
      <c r="EB59" s="109"/>
      <c r="EC59" s="4"/>
      <c r="ED59" s="103">
        <f>IF(EC59,EC59,"")</f>
      </c>
      <c r="EE59" s="20"/>
      <c r="EF59" s="104">
        <f t="shared" si="225"/>
      </c>
      <c r="EG59" s="104">
        <f t="shared" si="226"/>
        <v>0</v>
      </c>
      <c r="EH59" s="105">
        <f ca="1">IF(OR(EC59&lt;&gt;"",EE59&lt;&gt;""),RANK(EG59,EG$11:INDIRECT(EG$7,FALSE)),"")</f>
      </c>
      <c r="EI59" s="106"/>
      <c r="EJ59" s="107">
        <f t="shared" si="178"/>
      </c>
      <c r="EK59" s="110">
        <f>IF(AND($F$8&lt;11,EJ59&lt;&gt;""),HLOOKUP(MATCH(EY59,EZ59:FI59,0),Discards,1,FALSE),"")</f>
      </c>
      <c r="EL59" s="107">
        <f t="shared" si="227"/>
        <v>0</v>
      </c>
      <c r="EM59" s="108">
        <f ca="1">IF(OR(EC59&lt;&gt;"",EE59&lt;&gt;""),RANK(EL59,EL$11:INDIRECT(EL$7,FALSE)),"")</f>
      </c>
      <c r="EN59" s="111"/>
      <c r="EP59" s="112">
        <f t="shared" si="228"/>
        <v>0</v>
      </c>
      <c r="EQ59" s="28">
        <f>MIN($EZ59:FA59)</f>
        <v>0</v>
      </c>
      <c r="ER59" s="28">
        <f>MIN($EZ59:FB59)</f>
        <v>0</v>
      </c>
      <c r="ES59" s="28">
        <f>MIN($EZ59:FC59)</f>
        <v>0</v>
      </c>
      <c r="ET59" s="28">
        <f>MIN($EZ59:FD59)</f>
        <v>0</v>
      </c>
      <c r="EU59" s="28">
        <f>MIN($EZ59:FE59)</f>
        <v>0</v>
      </c>
      <c r="EV59" s="28">
        <f>MIN($EZ59:FF59)</f>
        <v>0</v>
      </c>
      <c r="EW59" s="28">
        <f>MIN($EZ59:FG59)</f>
        <v>0</v>
      </c>
      <c r="EX59" s="28">
        <f>MIN($EZ59:FH59)</f>
        <v>0</v>
      </c>
      <c r="EY59" s="28">
        <f>MIN($EZ59:FI59)</f>
        <v>0</v>
      </c>
      <c r="EZ59" s="28">
        <f t="shared" si="179"/>
      </c>
      <c r="FA59" s="28">
        <f t="shared" si="180"/>
      </c>
      <c r="FB59" s="28">
        <f t="shared" si="181"/>
      </c>
      <c r="FC59" s="28">
        <f t="shared" si="182"/>
      </c>
      <c r="FD59" s="28">
        <f t="shared" si="183"/>
      </c>
      <c r="FE59" s="28">
        <f t="shared" si="184"/>
      </c>
      <c r="FF59" s="28">
        <f t="shared" si="185"/>
      </c>
      <c r="FG59" s="28">
        <f t="shared" si="186"/>
      </c>
      <c r="FH59" s="28">
        <f t="shared" si="187"/>
      </c>
      <c r="FI59" s="28">
        <f t="shared" si="188"/>
      </c>
      <c r="FL59" s="26">
        <f t="shared" si="229"/>
        <v>255000000</v>
      </c>
      <c r="FM59" s="26">
        <f t="shared" si="230"/>
        <v>255000</v>
      </c>
      <c r="FN59" s="26">
        <f t="shared" si="231"/>
        <v>255</v>
      </c>
      <c r="FO59" s="26">
        <f>IF(C59&lt;&gt;"",SUM(FL59:FN59),0)</f>
        <v>0</v>
      </c>
      <c r="FP59" s="26">
        <f ca="1">IF(FO59&gt;0,SMALL($FO$11:INDIRECT($FO$7,FALSE),A59),0)</f>
        <v>0</v>
      </c>
      <c r="FQ59" s="26">
        <f t="shared" si="232"/>
        <v>0</v>
      </c>
      <c r="FR59" s="26">
        <f t="shared" si="233"/>
        <v>0</v>
      </c>
      <c r="FS59" s="26">
        <f t="shared" si="234"/>
        <v>0</v>
      </c>
      <c r="FT59" s="26">
        <f t="shared" si="235"/>
      </c>
      <c r="FU59" s="26">
        <f t="shared" si="236"/>
        <v>24</v>
      </c>
      <c r="FV59" s="28">
        <f t="shared" si="189"/>
      </c>
      <c r="FW59" s="26">
        <f t="shared" si="249"/>
      </c>
      <c r="FX59" s="28">
        <f t="shared" si="237"/>
      </c>
      <c r="FY59" s="26">
        <f ca="1">IF(FX59&lt;&gt;"",RANK(FX59,FX$11:INDIRECT(FX$7,FALSE)),"")</f>
      </c>
      <c r="FZ59" s="26">
        <f t="shared" si="238"/>
      </c>
      <c r="GA59" s="26">
        <f t="shared" si="81"/>
      </c>
      <c r="GC59" s="27">
        <f t="shared" si="190"/>
      </c>
      <c r="GD59" s="27">
        <f t="shared" si="191"/>
      </c>
      <c r="GE59" s="27">
        <f t="shared" si="239"/>
      </c>
      <c r="GF59" s="27">
        <f t="shared" si="240"/>
      </c>
      <c r="GG59" s="27">
        <f t="shared" si="241"/>
        <v>0</v>
      </c>
      <c r="GH59" s="26">
        <f t="shared" si="242"/>
        <v>0</v>
      </c>
      <c r="GI59" s="26">
        <f t="shared" si="243"/>
        <v>0</v>
      </c>
      <c r="GJ59" s="26">
        <f t="shared" si="244"/>
        <v>0</v>
      </c>
      <c r="GK59" s="26">
        <f t="shared" si="245"/>
      </c>
      <c r="GL59" s="28">
        <f t="shared" si="246"/>
      </c>
      <c r="GM59" s="26">
        <f t="shared" si="247"/>
      </c>
    </row>
    <row r="60" spans="1:195" ht="12.75">
      <c r="A60" s="16">
        <f t="shared" si="248"/>
        <v>50</v>
      </c>
      <c r="B60" s="17"/>
      <c r="C60" s="18"/>
      <c r="D60" s="19"/>
      <c r="E60" s="18"/>
      <c r="F60" s="18" t="s">
        <v>13</v>
      </c>
      <c r="G60" s="148"/>
      <c r="H60" s="122">
        <f>IF(G60&lt;&gt;"",LEFT(UPPER(G60),1)&amp;IF(LEN(G60)&gt;1,MID(UPPER(G60),2,1)," ")&amp;IF(LEN(G60)&gt;2,MID(UPPER(G60),3,1)," "),"")</f>
      </c>
      <c r="I60" s="30">
        <f>IF(Z60&lt;&gt;"",J60,"")</f>
      </c>
      <c r="J60" s="30">
        <f>AD60+AO60+BA60+BM60+BY60+CK60+CW60+DI60+DU60+EG60-(MIN(EZ60:FI60)*$EY$2)</f>
        <v>0</v>
      </c>
      <c r="K60" s="139">
        <f ca="1">IF(I60&lt;&gt;"",RANK(I60,J$11:INDIRECT(J$7,FALSE)),"")</f>
      </c>
      <c r="L60" s="102">
        <f>IF(AND(H60&lt;&gt;"",OR(M60&lt;&gt;0,Z60&lt;&gt;"")),M60,"")</f>
      </c>
      <c r="M60" s="102">
        <f>IF(G60&lt;&gt;"",SUMIF($H$11:$H$62,H60,$J$11:$J$62),0)</f>
        <v>0</v>
      </c>
      <c r="N60" s="51">
        <f t="shared" si="160"/>
      </c>
      <c r="O60" s="150"/>
      <c r="P60" s="151">
        <f>IF(O60,O60,"")</f>
      </c>
      <c r="Q60" s="152"/>
      <c r="R60" s="153">
        <f>IF(O60&gt;0,ROUND((1000*Q$5)/O60,1),IF(O60="","",0))</f>
      </c>
      <c r="S60" s="153">
        <f>IF(R60&lt;&gt;"",R60-Q60,-Q60)</f>
        <v>0</v>
      </c>
      <c r="T60" s="154">
        <f ca="1">IF(OR(O60&lt;&gt;"",Q60&lt;&gt;""),RANK(S60,S$11:INDIRECT(S$7,FALSE)),"")</f>
      </c>
      <c r="U60" s="155"/>
      <c r="V60" s="156"/>
      <c r="W60" s="156"/>
      <c r="X60" s="157"/>
      <c r="Y60" s="158"/>
      <c r="Z60" s="227"/>
      <c r="AA60" s="103">
        <f>IF(Z60,Z60,"")</f>
      </c>
      <c r="AB60" s="20"/>
      <c r="AC60" s="104">
        <f>IF(Z60&gt;0,ROUND((1000*AB$5)/Z60,1),IF(Z60="","",0))</f>
      </c>
      <c r="AD60" s="104">
        <f>IF(AC60&lt;&gt;"",AC60-AB60,-AB60)</f>
        <v>0</v>
      </c>
      <c r="AE60" s="105">
        <f ca="1">IF(OR(Z60&lt;&gt;"",AB60&lt;&gt;""),RANK(AD60,AD$11:INDIRECT(AD$7,FALSE)),"")</f>
      </c>
      <c r="AF60" s="106"/>
      <c r="AG60" s="107">
        <f>IF(OR(Z60&lt;&gt;"",AB60&lt;&gt;""),AD60,"")</f>
      </c>
      <c r="AH60" s="107">
        <f>IF(AD60,AD60,0)</f>
        <v>0</v>
      </c>
      <c r="AI60" s="108">
        <f ca="1">IF(OR(Z60&lt;&gt;"",AB60&lt;&gt;""),RANK(AH60,AH$11:INDIRECT(AH$7,FALSE)),"")</f>
      </c>
      <c r="AJ60" s="109"/>
      <c r="AK60" s="4"/>
      <c r="AL60" s="103">
        <f>IF(AK60,AK60,"")</f>
      </c>
      <c r="AM60" s="20"/>
      <c r="AN60" s="104">
        <f>IF(AK60&gt;0,ROUND((1000*AM$5)/AK60,1),IF(AK60="","",0))</f>
      </c>
      <c r="AO60" s="104">
        <f>IF(AN60&lt;&gt;"",AN60-AM60,-AM60)</f>
        <v>0</v>
      </c>
      <c r="AP60" s="105">
        <f ca="1">IF(OR(AK60&lt;&gt;"",AM60&lt;&gt;""),RANK(AO60,AO$11:INDIRECT(AO$7,FALSE)),"")</f>
      </c>
      <c r="AQ60" s="106"/>
      <c r="AR60" s="107">
        <f t="shared" si="161"/>
      </c>
      <c r="AS60" s="110">
        <f>IF(AND($F$8&lt;3,AR60&lt;&gt;""),HLOOKUP(MATCH(EQ60,EZ60:FA60,0),Discards,1,FALSE),"")</f>
      </c>
      <c r="AT60" s="107">
        <f t="shared" si="162"/>
        <v>0</v>
      </c>
      <c r="AU60" s="108">
        <f ca="1">IF(OR(AK60&lt;&gt;"",AM60&lt;&gt;""),RANK(AT60,AT$11:INDIRECT(AT$7,FALSE)),"")</f>
      </c>
      <c r="AV60" s="109"/>
      <c r="AW60" s="4"/>
      <c r="AX60" s="103">
        <f>IF(AW60,AW60,"")</f>
      </c>
      <c r="AY60" s="20"/>
      <c r="AZ60" s="104">
        <f>IF(AW60&gt;0,ROUND((1000*AY$5)/AW60,1),IF(AW60="","",0))</f>
      </c>
      <c r="BA60" s="104">
        <f>IF(AZ60&lt;&gt;"",AZ60-AY60,-AY60)</f>
        <v>0</v>
      </c>
      <c r="BB60" s="105">
        <f ca="1">IF(OR(AW60&lt;&gt;"",AY60&lt;&gt;""),RANK(BA60,BA$11:INDIRECT(BA$7,FALSE)),"")</f>
      </c>
      <c r="BC60" s="106"/>
      <c r="BD60" s="107">
        <f t="shared" si="164"/>
      </c>
      <c r="BE60" s="110">
        <f>IF(AND($F$8&lt;4,BD60&lt;&gt;""),HLOOKUP(MATCH(ER60,EZ60:FB60,0),Discards,1,FALSE),"")</f>
      </c>
      <c r="BF60" s="107">
        <f>IF(OR(AW60&lt;&gt;"",AY60&lt;&gt;""),BD60,0)</f>
        <v>0</v>
      </c>
      <c r="BG60" s="108">
        <f ca="1">IF(OR(AW60&lt;&gt;"",AY60&lt;&gt;""),RANK(BF60,BF$11:INDIRECT(BF$7,FALSE)),"")</f>
      </c>
      <c r="BH60" s="109"/>
      <c r="BI60" s="4"/>
      <c r="BJ60" s="103">
        <f>IF(BI60,BI60,"")</f>
      </c>
      <c r="BK60" s="20"/>
      <c r="BL60" s="104">
        <f>IF(BI60&gt;0,ROUND((1000*BK$5)/BI60,1),IF(BI60="","",0))</f>
      </c>
      <c r="BM60" s="104">
        <f>IF(BL60&lt;&gt;"",BL60-BK60,-BK60)</f>
        <v>0</v>
      </c>
      <c r="BN60" s="105">
        <f ca="1">IF(OR(BI60&lt;&gt;"",BK60&lt;&gt;""),RANK(BM60,BM$11:INDIRECT(BM$7,FALSE)),"")</f>
      </c>
      <c r="BO60" s="106"/>
      <c r="BP60" s="107">
        <f t="shared" si="166"/>
      </c>
      <c r="BQ60" s="110">
        <f>IF(AND($F$8&lt;5,BP60&lt;&gt;""),HLOOKUP(MATCH(ES60,EZ60:FC60,0),Discards,1,FALSE),"")</f>
      </c>
      <c r="BR60" s="107">
        <f>IF(OR(BI60&lt;&gt;"",BK60&lt;&gt;""),BP60,0)</f>
        <v>0</v>
      </c>
      <c r="BS60" s="108">
        <f ca="1">IF(OR(BI60&lt;&gt;"",BK60&lt;&gt;""),RANK(BR60,BR$11:INDIRECT(BR$7,FALSE)),"")</f>
      </c>
      <c r="BT60" s="109"/>
      <c r="BU60" s="4"/>
      <c r="BV60" s="103">
        <f>IF(BU60,BU60,"")</f>
      </c>
      <c r="BW60" s="20"/>
      <c r="BX60" s="104">
        <f>IF(BU60&gt;0,ROUND((1000*BW$5)/BU60,1),IF(BU60="","",0))</f>
      </c>
      <c r="BY60" s="104">
        <f>IF(BX60&lt;&gt;"",BX60-BW60,-BW60)</f>
        <v>0</v>
      </c>
      <c r="BZ60" s="105">
        <f ca="1">IF(OR(BU60&lt;&gt;"",BW60&lt;&gt;""),RANK(BY60,BY$11:INDIRECT(BY$7,FALSE)),"")</f>
      </c>
      <c r="CA60" s="106"/>
      <c r="CB60" s="107">
        <f t="shared" si="168"/>
      </c>
      <c r="CC60" s="110">
        <f>IF(AND($F$8&lt;6,CB60&lt;&gt;""),HLOOKUP(MATCH(ET60,EZ60:FD60,0),Discards,1,FALSE),"")</f>
      </c>
      <c r="CD60" s="107">
        <f>IF(OR(BU60&lt;&gt;"",BW60&lt;&gt;""),CB60,0)</f>
        <v>0</v>
      </c>
      <c r="CE60" s="108">
        <f ca="1">IF(OR(BU60&lt;&gt;"",BW60&lt;&gt;""),RANK(CD60,CD$11:INDIRECT(CD$7,FALSE)),"")</f>
      </c>
      <c r="CF60" s="109"/>
      <c r="CG60" s="4"/>
      <c r="CH60" s="103">
        <f>IF(CG60,CG60,"")</f>
      </c>
      <c r="CI60" s="20"/>
      <c r="CJ60" s="104">
        <f>IF(CG60&gt;0,ROUND((1000*CI$5)/CG60,1),IF(CG60="","",0))</f>
      </c>
      <c r="CK60" s="104">
        <f>IF(CJ60&lt;&gt;"",CJ60-CI60,-CI60)</f>
        <v>0</v>
      </c>
      <c r="CL60" s="105">
        <f ca="1">IF(OR(CG60&lt;&gt;"",CI60&lt;&gt;""),RANK(CK60,CK$11:INDIRECT(CK$7,FALSE)),"")</f>
      </c>
      <c r="CM60" s="106"/>
      <c r="CN60" s="107">
        <f t="shared" si="170"/>
      </c>
      <c r="CO60" s="110">
        <f>IF(AND($F$8&lt;7,CN60&lt;&gt;""),HLOOKUP(MATCH(EU60,EZ60:FE60,0),Discards,1,FALSE),"")</f>
      </c>
      <c r="CP60" s="107">
        <f>IF(OR(CG60&lt;&gt;"",CI60&lt;&gt;""),CN60,0)</f>
        <v>0</v>
      </c>
      <c r="CQ60" s="108">
        <f ca="1">IF(OR(CG60&lt;&gt;"",CI60&lt;&gt;""),RANK(CP60,CP$11:INDIRECT(CP$7,FALSE)),"")</f>
      </c>
      <c r="CR60" s="109"/>
      <c r="CS60" s="4"/>
      <c r="CT60" s="103">
        <f>IF(CS60,CS60,"")</f>
      </c>
      <c r="CU60" s="20"/>
      <c r="CV60" s="104">
        <f>IF(CS60&gt;0,ROUND((1000*CU$5)/CS60,1),IF(CS60="","",0))</f>
      </c>
      <c r="CW60" s="104">
        <f>IF(CV60&lt;&gt;"",CV60-CU60,-CU60)</f>
        <v>0</v>
      </c>
      <c r="CX60" s="105">
        <f ca="1">IF(OR(CS60&lt;&gt;"",CU60&lt;&gt;""),RANK(CW60,CW$11:INDIRECT(CW$7,FALSE)),"")</f>
      </c>
      <c r="CY60" s="106"/>
      <c r="CZ60" s="107">
        <f t="shared" si="172"/>
      </c>
      <c r="DA60" s="110">
        <f>IF(AND($F$8&lt;8,CZ60&lt;&gt;""),HLOOKUP(MATCH(EV60,EZ60:FF60,0),Discards,1,FALSE),"")</f>
      </c>
      <c r="DB60" s="107">
        <f>IF(OR(CS60&lt;&gt;"",CU60&lt;&gt;""),CZ60,0)</f>
        <v>0</v>
      </c>
      <c r="DC60" s="108">
        <f ca="1">IF(OR(CS60&lt;&gt;"",CU60&lt;&gt;""),RANK(DB60,DB$11:INDIRECT(DB$7,FALSE)),"")</f>
      </c>
      <c r="DD60" s="109"/>
      <c r="DE60" s="4"/>
      <c r="DF60" s="103">
        <f>IF(DE60,DE60,"")</f>
      </c>
      <c r="DG60" s="20"/>
      <c r="DH60" s="104">
        <f>IF(DE60&gt;0,ROUND((1000*DG$5)/DE60,1),IF(DE60="","",0))</f>
      </c>
      <c r="DI60" s="104">
        <f>IF(DH60&lt;&gt;"",DH60-DG60,-DG60)</f>
        <v>0</v>
      </c>
      <c r="DJ60" s="105">
        <f ca="1">IF(OR(DE60&lt;&gt;"",DG60&lt;&gt;""),RANK(DI60,DI$11:INDIRECT(DI$7,FALSE)),"")</f>
      </c>
      <c r="DK60" s="106"/>
      <c r="DL60" s="107">
        <f t="shared" si="174"/>
      </c>
      <c r="DM60" s="110">
        <f>IF(AND($F$8&lt;9,DL60&lt;&gt;""),HLOOKUP(MATCH(EW60,EZ60:FG60,0),Discards,1,FALSE),"")</f>
      </c>
      <c r="DN60" s="107">
        <f>IF(OR(DE60&lt;&gt;"",DG60&lt;&gt;""),DL60,0)</f>
        <v>0</v>
      </c>
      <c r="DO60" s="108">
        <f ca="1">IF(OR(DE60&lt;&gt;"",DG60&lt;&gt;""),RANK(DN60,DN$11:INDIRECT(DN$7,FALSE)),"")</f>
      </c>
      <c r="DP60" s="109"/>
      <c r="DQ60" s="4"/>
      <c r="DR60" s="103">
        <f>IF(DQ60,DQ60,"")</f>
      </c>
      <c r="DS60" s="20"/>
      <c r="DT60" s="104">
        <f>IF(DQ60&gt;0,ROUND((1000*DS$5)/DQ60,1),IF(DQ60="","",0))</f>
      </c>
      <c r="DU60" s="104">
        <f>IF(DT60&lt;&gt;"",DT60-DS60,-DS60)</f>
        <v>0</v>
      </c>
      <c r="DV60" s="105">
        <f ca="1">IF(OR(DQ60&lt;&gt;"",DS60&lt;&gt;""),RANK(DU60,DU$11:INDIRECT(DU$7,FALSE)),"")</f>
      </c>
      <c r="DW60" s="106"/>
      <c r="DX60" s="107">
        <f t="shared" si="176"/>
      </c>
      <c r="DY60" s="110">
        <f>IF(AND($F$8&lt;10,DX60&lt;&gt;""),HLOOKUP(MATCH(EX60,EZ60:FH60,0),Discards,1,FALSE),"")</f>
      </c>
      <c r="DZ60" s="107">
        <f>IF(OR(DQ60&lt;&gt;"",DS60&lt;&gt;""),DX60,0)</f>
        <v>0</v>
      </c>
      <c r="EA60" s="108">
        <f ca="1">IF(OR(DQ60&lt;&gt;"",DS60&lt;&gt;""),RANK(DZ60,DZ$11:INDIRECT(DZ$7,FALSE)),"")</f>
      </c>
      <c r="EB60" s="109"/>
      <c r="EC60" s="4"/>
      <c r="ED60" s="103">
        <f>IF(EC60,EC60,"")</f>
      </c>
      <c r="EE60" s="20"/>
      <c r="EF60" s="104">
        <f>IF(EC60&gt;0,ROUND((1000*EE$5)/EC60,1),IF(EC60="","",0))</f>
      </c>
      <c r="EG60" s="104">
        <f>IF(EF60&lt;&gt;"",EF60-EE60,-EE60)</f>
        <v>0</v>
      </c>
      <c r="EH60" s="105">
        <f ca="1">IF(OR(EC60&lt;&gt;"",EE60&lt;&gt;""),RANK(EG60,EG$11:INDIRECT(EG$7,FALSE)),"")</f>
      </c>
      <c r="EI60" s="106"/>
      <c r="EJ60" s="107">
        <f t="shared" si="178"/>
      </c>
      <c r="EK60" s="110">
        <f>IF(AND($F$8&lt;11,EJ60&lt;&gt;""),HLOOKUP(MATCH(EY60,EZ60:FI60,0),Discards,1,FALSE),"")</f>
      </c>
      <c r="EL60" s="107">
        <f>IF(OR(EC60&lt;&gt;"",EE60&lt;&gt;""),EJ60,0)</f>
        <v>0</v>
      </c>
      <c r="EM60" s="108">
        <f ca="1">IF(OR(EC60&lt;&gt;"",EE60&lt;&gt;""),RANK(EL60,EL$11:INDIRECT(EL$7,FALSE)),"")</f>
      </c>
      <c r="EN60" s="111"/>
      <c r="EP60" s="112">
        <f>IF(C60&lt;&gt;"",1,0)</f>
        <v>0</v>
      </c>
      <c r="EQ60" s="28">
        <f>MIN($EZ60:FA60)</f>
        <v>0</v>
      </c>
      <c r="ER60" s="28">
        <f>MIN($EZ60:FB60)</f>
        <v>0</v>
      </c>
      <c r="ES60" s="28">
        <f>MIN($EZ60:FC60)</f>
        <v>0</v>
      </c>
      <c r="ET60" s="28">
        <f>MIN($EZ60:FD60)</f>
        <v>0</v>
      </c>
      <c r="EU60" s="28">
        <f>MIN($EZ60:FE60)</f>
        <v>0</v>
      </c>
      <c r="EV60" s="28">
        <f>MIN($EZ60:FF60)</f>
        <v>0</v>
      </c>
      <c r="EW60" s="28">
        <f>MIN($EZ60:FG60)</f>
        <v>0</v>
      </c>
      <c r="EX60" s="28">
        <f>MIN($EZ60:FH60)</f>
        <v>0</v>
      </c>
      <c r="EY60" s="28">
        <f>MIN($EZ60:FI60)</f>
        <v>0</v>
      </c>
      <c r="EZ60" s="28">
        <f t="shared" si="179"/>
      </c>
      <c r="FA60" s="28">
        <f t="shared" si="180"/>
      </c>
      <c r="FB60" s="28">
        <f t="shared" si="181"/>
      </c>
      <c r="FC60" s="28">
        <f t="shared" si="182"/>
      </c>
      <c r="FD60" s="28">
        <f t="shared" si="183"/>
      </c>
      <c r="FE60" s="28">
        <f t="shared" si="184"/>
      </c>
      <c r="FF60" s="28">
        <f t="shared" si="185"/>
      </c>
      <c r="FG60" s="28">
        <f t="shared" si="186"/>
      </c>
      <c r="FH60" s="28">
        <f t="shared" si="187"/>
      </c>
      <c r="FI60" s="28">
        <f t="shared" si="188"/>
      </c>
      <c r="FL60" s="26">
        <f>IF(H60&lt;&gt;"",(CODE(MID(H60,1,1))*1000)*1000,255000000)</f>
        <v>255000000</v>
      </c>
      <c r="FM60" s="26">
        <f>IF(H60&lt;&gt;"",CODE(MID(H60,2,1))*1000,255000)</f>
        <v>255000</v>
      </c>
      <c r="FN60" s="26">
        <f>IF(H60&lt;&gt;"",CODE(MID(H60,3,1)),255)</f>
        <v>255</v>
      </c>
      <c r="FO60" s="26">
        <f>IF(C60&lt;&gt;"",SUM(FL60:FN60),0)</f>
        <v>0</v>
      </c>
      <c r="FP60" s="26">
        <f ca="1">IF(FO60&gt;0,SMALL($FO$11:INDIRECT($FO$7,FALSE),A60),0)</f>
        <v>0</v>
      </c>
      <c r="FQ60" s="26">
        <f>INT(FP60/1000000)</f>
        <v>0</v>
      </c>
      <c r="FR60" s="26">
        <f>INT(FP60/1000)-FQ60*1000</f>
        <v>0</v>
      </c>
      <c r="FS60" s="26">
        <f>FP60-FQ60*1000000-FR60*1000</f>
        <v>0</v>
      </c>
      <c r="FT60" s="26">
        <f>IF(FP60=255255255,"",IF(FP60&gt;0,CHAR(FQ60)&amp;CHAR(FR60)&amp;CHAR(FS60),""))</f>
      </c>
      <c r="FU60" s="26">
        <f>COUNTIF($FT$11:$FT$34,FT60)</f>
        <v>24</v>
      </c>
      <c r="FV60" s="28">
        <f t="shared" si="189"/>
      </c>
      <c r="FW60" s="26">
        <f t="shared" si="249"/>
      </c>
      <c r="FX60" s="28">
        <f>IF(FW60&lt;&gt;"",FV60,"")</f>
      </c>
      <c r="FY60" s="26">
        <f ca="1">IF(FX60&lt;&gt;"",RANK(FX60,FX$11:INDIRECT(FX$7,FALSE)),"")</f>
      </c>
      <c r="FZ60" s="26">
        <f>IF(H60&lt;&gt;"",MATCH(H60,$FW$11:$FW$62,0),"")</f>
      </c>
      <c r="GA60" s="26">
        <f t="shared" si="81"/>
      </c>
      <c r="GC60" s="27">
        <f t="shared" si="190"/>
      </c>
      <c r="GD60" s="27">
        <f t="shared" si="191"/>
      </c>
      <c r="GE60" s="27">
        <f t="shared" si="239"/>
      </c>
      <c r="GF60" s="27">
        <f>IF(A60&lt;=$GF$8,LARGE($GE$11:$GE$62,A60),"")</f>
      </c>
      <c r="GG60" s="27">
        <f>IF(GF60&lt;&gt;"",VALUE(RIGHT(GF60,9)),0)</f>
        <v>0</v>
      </c>
      <c r="GH60" s="26">
        <f>INT(GG60/1000000)</f>
        <v>0</v>
      </c>
      <c r="GI60" s="26">
        <f>INT(GG60/1000)-GH60*1000</f>
        <v>0</v>
      </c>
      <c r="GJ60" s="26">
        <f>GG60-GH60*1000000-GI60*1000</f>
        <v>0</v>
      </c>
      <c r="GK60" s="26">
        <f>IF(GG60=255255255,"",IF(GG60&gt;0,CHAR(GH60)&amp;CHAR(GI60)&amp;CHAR(GJ60),""))</f>
      </c>
      <c r="GL60" s="28">
        <f>IF(GK60&lt;&gt;"",(GF60-GG60)/10000000000-1000,"")</f>
      </c>
      <c r="GM60" s="26">
        <f>IF(GL60&lt;&gt;"",RANK(GL60,$GL$11:$GL$62),"")</f>
      </c>
    </row>
    <row r="61" spans="1:195" ht="12.75">
      <c r="A61" s="169">
        <f>A60+1</f>
        <v>51</v>
      </c>
      <c r="B61" s="170"/>
      <c r="C61" s="171"/>
      <c r="D61" s="172"/>
      <c r="E61" s="171"/>
      <c r="F61" s="171" t="s">
        <v>13</v>
      </c>
      <c r="G61" s="173"/>
      <c r="H61" s="174">
        <f>IF(G61&lt;&gt;"",LEFT(UPPER(G61),1)&amp;IF(LEN(G61)&gt;1,MID(UPPER(G61),2,1)," ")&amp;IF(LEN(G61)&gt;2,MID(UPPER(G61),3,1)," "),"")</f>
      </c>
      <c r="I61" s="175">
        <f>IF(Z61&lt;&gt;"",J61,"")</f>
      </c>
      <c r="J61" s="175">
        <f>AD61+AO61+BA61+BM61+BY61+CK61+CW61+DI61+DU61+EG61-(MIN(EZ61:FI61)*$EY$2)</f>
        <v>0</v>
      </c>
      <c r="K61" s="176">
        <f ca="1">IF(I61&lt;&gt;"",RANK(I61,J$11:INDIRECT(J$7,FALSE)),"")</f>
      </c>
      <c r="L61" s="177">
        <f>IF(AND(H61&lt;&gt;"",OR(M61&lt;&gt;0,Z61&lt;&gt;"")),M61,"")</f>
      </c>
      <c r="M61" s="177">
        <f>IF(G61&lt;&gt;"",SUMIF($H$11:$H$62,H61,$J$11:$J$62),0)</f>
        <v>0</v>
      </c>
      <c r="N61" s="178">
        <f t="shared" si="160"/>
      </c>
      <c r="O61" s="179"/>
      <c r="P61" s="180">
        <f>IF(O61,O61,"")</f>
      </c>
      <c r="Q61" s="181"/>
      <c r="R61" s="182">
        <f>IF(O61&gt;0,ROUND((1000*Q$5)/O61,1),IF(O61="","",0))</f>
      </c>
      <c r="S61" s="182">
        <f>IF(R61&lt;&gt;"",R61-Q61,-Q61)</f>
        <v>0</v>
      </c>
      <c r="T61" s="183">
        <f ca="1">IF(OR(O61&lt;&gt;"",Q61&lt;&gt;""),RANK(S61,S$11:INDIRECT(S$7,FALSE)),"")</f>
      </c>
      <c r="U61" s="184"/>
      <c r="V61" s="185"/>
      <c r="W61" s="185"/>
      <c r="X61" s="186"/>
      <c r="Y61" s="187"/>
      <c r="Z61" s="229"/>
      <c r="AA61" s="188">
        <f>IF(Z61,Z61,"")</f>
      </c>
      <c r="AB61" s="189"/>
      <c r="AC61" s="190">
        <f>IF(Z61&gt;0,ROUND((1000*AB$5)/Z61,1),IF(Z61="","",0))</f>
      </c>
      <c r="AD61" s="190">
        <f>IF(AC61&lt;&gt;"",AC61-AB61,-AB61)</f>
        <v>0</v>
      </c>
      <c r="AE61" s="191">
        <f ca="1">IF(OR(Z61&lt;&gt;"",AB61&lt;&gt;""),RANK(AD61,AD$11:INDIRECT(AD$7,FALSE)),"")</f>
      </c>
      <c r="AF61" s="192"/>
      <c r="AG61" s="193">
        <f>IF(OR(Z61&lt;&gt;"",AB61&lt;&gt;""),AD61,"")</f>
      </c>
      <c r="AH61" s="193">
        <f>IF(AD61,AD61,0)</f>
        <v>0</v>
      </c>
      <c r="AI61" s="194">
        <f ca="1">IF(OR(Z61&lt;&gt;"",AB61&lt;&gt;""),RANK(AH61,AH$11:INDIRECT(AH$7,FALSE)),"")</f>
      </c>
      <c r="AJ61" s="195"/>
      <c r="AK61" s="196"/>
      <c r="AL61" s="188">
        <f>IF(AK61,AK61,"")</f>
      </c>
      <c r="AM61" s="189"/>
      <c r="AN61" s="190">
        <f>IF(AK61&gt;0,ROUND((1000*AM$5)/AK61,1),IF(AK61="","",0))</f>
      </c>
      <c r="AO61" s="190">
        <f>IF(AN61&lt;&gt;"",AN61-AM61,-AM61)</f>
        <v>0</v>
      </c>
      <c r="AP61" s="191">
        <f ca="1">IF(OR(AK61&lt;&gt;"",AM61&lt;&gt;""),RANK(AO61,AO$11:INDIRECT(AO$7,FALSE)),"")</f>
      </c>
      <c r="AQ61" s="192"/>
      <c r="AR61" s="193">
        <f t="shared" si="161"/>
      </c>
      <c r="AS61" s="197">
        <f>IF(AND($F$8&lt;3,AR61&lt;&gt;""),HLOOKUP(MATCH(EQ61,EZ61:FA61,0),Discards,1,FALSE),"")</f>
      </c>
      <c r="AT61" s="193">
        <f t="shared" si="162"/>
        <v>0</v>
      </c>
      <c r="AU61" s="194">
        <f ca="1">IF(OR(AK61&lt;&gt;"",AM61&lt;&gt;""),RANK(AT61,AT$11:INDIRECT(AT$7,FALSE)),"")</f>
      </c>
      <c r="AV61" s="195"/>
      <c r="AW61" s="196"/>
      <c r="AX61" s="188">
        <f>IF(AW61,AW61,"")</f>
      </c>
      <c r="AY61" s="189"/>
      <c r="AZ61" s="190">
        <f>IF(AW61&gt;0,ROUND((1000*AY$5)/AW61,1),IF(AW61="","",0))</f>
      </c>
      <c r="BA61" s="190">
        <f>IF(AZ61&lt;&gt;"",AZ61-AY61,-AY61)</f>
        <v>0</v>
      </c>
      <c r="BB61" s="191">
        <f ca="1">IF(OR(AW61&lt;&gt;"",AY61&lt;&gt;""),RANK(BA61,BA$11:INDIRECT(BA$7,FALSE)),"")</f>
      </c>
      <c r="BC61" s="192"/>
      <c r="BD61" s="193">
        <f t="shared" si="164"/>
      </c>
      <c r="BE61" s="197">
        <f>IF(AND($F$8&lt;4,BD61&lt;&gt;""),HLOOKUP(MATCH(ER61,EZ61:FB61,0),Discards,1,FALSE),"")</f>
      </c>
      <c r="BF61" s="193">
        <f>IF(OR(AW61&lt;&gt;"",AY61&lt;&gt;""),BD61,0)</f>
        <v>0</v>
      </c>
      <c r="BG61" s="194">
        <f ca="1">IF(OR(AW61&lt;&gt;"",AY61&lt;&gt;""),RANK(BF61,BF$11:INDIRECT(BF$7,FALSE)),"")</f>
      </c>
      <c r="BH61" s="195"/>
      <c r="BI61" s="196"/>
      <c r="BJ61" s="188">
        <f>IF(BI61,BI61,"")</f>
      </c>
      <c r="BK61" s="189"/>
      <c r="BL61" s="190">
        <f>IF(BI61&gt;0,ROUND((1000*BK$5)/BI61,1),IF(BI61="","",0))</f>
      </c>
      <c r="BM61" s="190">
        <f>IF(BL61&lt;&gt;"",BL61-BK61,-BK61)</f>
        <v>0</v>
      </c>
      <c r="BN61" s="191">
        <f ca="1">IF(OR(BI61&lt;&gt;"",BK61&lt;&gt;""),RANK(BM61,BM$11:INDIRECT(BM$7,FALSE)),"")</f>
      </c>
      <c r="BO61" s="192"/>
      <c r="BP61" s="193">
        <f t="shared" si="166"/>
      </c>
      <c r="BQ61" s="197">
        <f>IF(AND($F$8&lt;5,BP61&lt;&gt;""),HLOOKUP(MATCH(ES61,EZ61:FC61,0),Discards,1,FALSE),"")</f>
      </c>
      <c r="BR61" s="193">
        <f>IF(OR(BI61&lt;&gt;"",BK61&lt;&gt;""),BP61,0)</f>
        <v>0</v>
      </c>
      <c r="BS61" s="194">
        <f ca="1">IF(OR(BI61&lt;&gt;"",BK61&lt;&gt;""),RANK(BR61,BR$11:INDIRECT(BR$7,FALSE)),"")</f>
      </c>
      <c r="BT61" s="195"/>
      <c r="BU61" s="196"/>
      <c r="BV61" s="188">
        <f>IF(BU61,BU61,"")</f>
      </c>
      <c r="BW61" s="189"/>
      <c r="BX61" s="190">
        <f>IF(BU61&gt;0,ROUND((1000*BW$5)/BU61,1),IF(BU61="","",0))</f>
      </c>
      <c r="BY61" s="190">
        <f>IF(BX61&lt;&gt;"",BX61-BW61,-BW61)</f>
        <v>0</v>
      </c>
      <c r="BZ61" s="191">
        <f ca="1">IF(OR(BU61&lt;&gt;"",BW61&lt;&gt;""),RANK(BY61,BY$11:INDIRECT(BY$7,FALSE)),"")</f>
      </c>
      <c r="CA61" s="192"/>
      <c r="CB61" s="193">
        <f t="shared" si="168"/>
      </c>
      <c r="CC61" s="197">
        <f>IF(AND($F$8&lt;6,CB61&lt;&gt;""),HLOOKUP(MATCH(ET61,EZ61:FD61,0),Discards,1,FALSE),"")</f>
      </c>
      <c r="CD61" s="193">
        <f>IF(OR(BU61&lt;&gt;"",BW61&lt;&gt;""),CB61,0)</f>
        <v>0</v>
      </c>
      <c r="CE61" s="194">
        <f ca="1">IF(OR(BU61&lt;&gt;"",BW61&lt;&gt;""),RANK(CD61,CD$11:INDIRECT(CD$7,FALSE)),"")</f>
      </c>
      <c r="CF61" s="195"/>
      <c r="CG61" s="196"/>
      <c r="CH61" s="188">
        <f>IF(CG61,CG61,"")</f>
      </c>
      <c r="CI61" s="189"/>
      <c r="CJ61" s="190">
        <f>IF(CG61&gt;0,ROUND((1000*CI$5)/CG61,1),IF(CG61="","",0))</f>
      </c>
      <c r="CK61" s="190">
        <f>IF(CJ61&lt;&gt;"",CJ61-CI61,-CI61)</f>
        <v>0</v>
      </c>
      <c r="CL61" s="191">
        <f ca="1">IF(OR(CG61&lt;&gt;"",CI61&lt;&gt;""),RANK(CK61,CK$11:INDIRECT(CK$7,FALSE)),"")</f>
      </c>
      <c r="CM61" s="192"/>
      <c r="CN61" s="193">
        <f t="shared" si="170"/>
      </c>
      <c r="CO61" s="197">
        <f>IF(AND($F$8&lt;7,CN61&lt;&gt;""),HLOOKUP(MATCH(EU61,EZ61:FE61,0),Discards,1,FALSE),"")</f>
      </c>
      <c r="CP61" s="193">
        <f>IF(OR(CG61&lt;&gt;"",CI61&lt;&gt;""),CN61,0)</f>
        <v>0</v>
      </c>
      <c r="CQ61" s="194">
        <f ca="1">IF(OR(CG61&lt;&gt;"",CI61&lt;&gt;""),RANK(CP61,CP$11:INDIRECT(CP$7,FALSE)),"")</f>
      </c>
      <c r="CR61" s="195"/>
      <c r="CS61" s="196"/>
      <c r="CT61" s="188">
        <f>IF(CS61,CS61,"")</f>
      </c>
      <c r="CU61" s="189"/>
      <c r="CV61" s="190">
        <f>IF(CS61&gt;0,ROUND((1000*CU$5)/CS61,1),IF(CS61="","",0))</f>
      </c>
      <c r="CW61" s="190">
        <f>IF(CV61&lt;&gt;"",CV61-CU61,-CU61)</f>
        <v>0</v>
      </c>
      <c r="CX61" s="191">
        <f ca="1">IF(OR(CS61&lt;&gt;"",CU61&lt;&gt;""),RANK(CW61,CW$11:INDIRECT(CW$7,FALSE)),"")</f>
      </c>
      <c r="CY61" s="192"/>
      <c r="CZ61" s="193">
        <f t="shared" si="172"/>
      </c>
      <c r="DA61" s="197">
        <f>IF(AND($F$8&lt;8,CZ61&lt;&gt;""),HLOOKUP(MATCH(EV61,EZ61:FF61,0),Discards,1,FALSE),"")</f>
      </c>
      <c r="DB61" s="193">
        <f>IF(OR(CS61&lt;&gt;"",CU61&lt;&gt;""),CZ61,0)</f>
        <v>0</v>
      </c>
      <c r="DC61" s="194">
        <f ca="1">IF(OR(CS61&lt;&gt;"",CU61&lt;&gt;""),RANK(DB61,DB$11:INDIRECT(DB$7,FALSE)),"")</f>
      </c>
      <c r="DD61" s="195"/>
      <c r="DE61" s="196"/>
      <c r="DF61" s="188">
        <f>IF(DE61,DE61,"")</f>
      </c>
      <c r="DG61" s="189"/>
      <c r="DH61" s="190">
        <f>IF(DE61&gt;0,ROUND((1000*DG$5)/DE61,1),IF(DE61="","",0))</f>
      </c>
      <c r="DI61" s="190">
        <f>IF(DH61&lt;&gt;"",DH61-DG61,-DG61)</f>
        <v>0</v>
      </c>
      <c r="DJ61" s="191">
        <f ca="1">IF(OR(DE61&lt;&gt;"",DG61&lt;&gt;""),RANK(DI61,DI$11:INDIRECT(DI$7,FALSE)),"")</f>
      </c>
      <c r="DK61" s="192"/>
      <c r="DL61" s="193">
        <f t="shared" si="174"/>
      </c>
      <c r="DM61" s="197">
        <f>IF(AND($F$8&lt;9,DL61&lt;&gt;""),HLOOKUP(MATCH(EW61,EZ61:FG61,0),Discards,1,FALSE),"")</f>
      </c>
      <c r="DN61" s="193">
        <f>IF(OR(DE61&lt;&gt;"",DG61&lt;&gt;""),DL61,0)</f>
        <v>0</v>
      </c>
      <c r="DO61" s="194">
        <f ca="1">IF(OR(DE61&lt;&gt;"",DG61&lt;&gt;""),RANK(DN61,DN$11:INDIRECT(DN$7,FALSE)),"")</f>
      </c>
      <c r="DP61" s="195"/>
      <c r="DQ61" s="196"/>
      <c r="DR61" s="188">
        <f>IF(DQ61,DQ61,"")</f>
      </c>
      <c r="DS61" s="189"/>
      <c r="DT61" s="190">
        <f>IF(DQ61&gt;0,ROUND((1000*DS$5)/DQ61,1),IF(DQ61="","",0))</f>
      </c>
      <c r="DU61" s="190">
        <f>IF(DT61&lt;&gt;"",DT61-DS61,-DS61)</f>
        <v>0</v>
      </c>
      <c r="DV61" s="191">
        <f ca="1">IF(OR(DQ61&lt;&gt;"",DS61&lt;&gt;""),RANK(DU61,DU$11:INDIRECT(DU$7,FALSE)),"")</f>
      </c>
      <c r="DW61" s="192"/>
      <c r="DX61" s="193">
        <f t="shared" si="176"/>
      </c>
      <c r="DY61" s="197">
        <f>IF(AND($F$8&lt;10,DX61&lt;&gt;""),HLOOKUP(MATCH(EX61,EZ61:FH61,0),Discards,1,FALSE),"")</f>
      </c>
      <c r="DZ61" s="193">
        <f>IF(OR(DQ61&lt;&gt;"",DS61&lt;&gt;""),DX61,0)</f>
        <v>0</v>
      </c>
      <c r="EA61" s="194">
        <f ca="1">IF(OR(DQ61&lt;&gt;"",DS61&lt;&gt;""),RANK(DZ61,DZ$11:INDIRECT(DZ$7,FALSE)),"")</f>
      </c>
      <c r="EB61" s="195"/>
      <c r="EC61" s="196"/>
      <c r="ED61" s="188">
        <f>IF(EC61,EC61,"")</f>
      </c>
      <c r="EE61" s="189"/>
      <c r="EF61" s="190">
        <f>IF(EC61&gt;0,ROUND((1000*EE$5)/EC61,1),IF(EC61="","",0))</f>
      </c>
      <c r="EG61" s="190">
        <f>IF(EF61&lt;&gt;"",EF61-EE61,-EE61)</f>
        <v>0</v>
      </c>
      <c r="EH61" s="191">
        <f ca="1">IF(OR(EC61&lt;&gt;"",EE61&lt;&gt;""),RANK(EG61,EG$11:INDIRECT(EG$7,FALSE)),"")</f>
      </c>
      <c r="EI61" s="192"/>
      <c r="EJ61" s="193">
        <f t="shared" si="178"/>
      </c>
      <c r="EK61" s="197">
        <f>IF(AND($F$8&lt;11,EJ61&lt;&gt;""),HLOOKUP(MATCH(EY61,EZ61:FI61,0),Discards,1,FALSE),"")</f>
      </c>
      <c r="EL61" s="193">
        <f>IF(OR(EC61&lt;&gt;"",EE61&lt;&gt;""),EJ61,0)</f>
        <v>0</v>
      </c>
      <c r="EM61" s="194">
        <f ca="1">IF(OR(EC61&lt;&gt;"",EE61&lt;&gt;""),RANK(EL61,EL$11:INDIRECT(EL$7,FALSE)),"")</f>
      </c>
      <c r="EN61" s="198"/>
      <c r="EP61" s="112">
        <f>IF(C61&lt;&gt;"",1,0)</f>
        <v>0</v>
      </c>
      <c r="EQ61" s="28">
        <f>MIN($EZ61:FA61)</f>
        <v>0</v>
      </c>
      <c r="ER61" s="28">
        <f>MIN($EZ61:FB61)</f>
        <v>0</v>
      </c>
      <c r="ES61" s="28">
        <f>MIN($EZ61:FC61)</f>
        <v>0</v>
      </c>
      <c r="ET61" s="28">
        <f>MIN($EZ61:FD61)</f>
        <v>0</v>
      </c>
      <c r="EU61" s="28">
        <f>MIN($EZ61:FE61)</f>
        <v>0</v>
      </c>
      <c r="EV61" s="28">
        <f>MIN($EZ61:FF61)</f>
        <v>0</v>
      </c>
      <c r="EW61" s="28">
        <f>MIN($EZ61:FG61)</f>
        <v>0</v>
      </c>
      <c r="EX61" s="28">
        <f>MIN($EZ61:FH61)</f>
        <v>0</v>
      </c>
      <c r="EY61" s="28">
        <f>MIN($EZ61:FI61)</f>
        <v>0</v>
      </c>
      <c r="EZ61" s="28">
        <f t="shared" si="179"/>
      </c>
      <c r="FA61" s="28">
        <f t="shared" si="180"/>
      </c>
      <c r="FB61" s="28">
        <f t="shared" si="181"/>
      </c>
      <c r="FC61" s="28">
        <f t="shared" si="182"/>
      </c>
      <c r="FD61" s="28">
        <f t="shared" si="183"/>
      </c>
      <c r="FE61" s="28">
        <f t="shared" si="184"/>
      </c>
      <c r="FF61" s="28">
        <f t="shared" si="185"/>
      </c>
      <c r="FG61" s="28">
        <f t="shared" si="186"/>
      </c>
      <c r="FH61" s="28">
        <f t="shared" si="187"/>
      </c>
      <c r="FI61" s="28">
        <f t="shared" si="188"/>
      </c>
      <c r="FL61" s="26">
        <f>IF(H61&lt;&gt;"",(CODE(MID(H61,1,1))*1000)*1000,255000000)</f>
        <v>255000000</v>
      </c>
      <c r="FM61" s="26">
        <f>IF(H61&lt;&gt;"",CODE(MID(H61,2,1))*1000,255000)</f>
        <v>255000</v>
      </c>
      <c r="FN61" s="26">
        <f>IF(H61&lt;&gt;"",CODE(MID(H61,3,1)),255)</f>
        <v>255</v>
      </c>
      <c r="FO61" s="26">
        <f>IF(C61&lt;&gt;"",SUM(FL61:FN61),0)</f>
        <v>0</v>
      </c>
      <c r="FP61" s="26">
        <f ca="1">IF(FO61&gt;0,SMALL($FO$11:INDIRECT($FO$7,FALSE),A61),0)</f>
        <v>0</v>
      </c>
      <c r="FQ61" s="26">
        <f>INT(FP61/1000000)</f>
        <v>0</v>
      </c>
      <c r="FR61" s="26">
        <f>INT(FP61/1000)-FQ61*1000</f>
        <v>0</v>
      </c>
      <c r="FS61" s="26">
        <f>FP61-FQ61*1000000-FR61*1000</f>
        <v>0</v>
      </c>
      <c r="FT61" s="26">
        <f>IF(FP61=255255255,"",IF(FP61&gt;0,CHAR(FQ61)&amp;CHAR(FR61)&amp;CHAR(FS61),""))</f>
      </c>
      <c r="FU61" s="26">
        <f>COUNTIF($FT$11:$FT$34,FT61)</f>
        <v>24</v>
      </c>
      <c r="FV61" s="28">
        <f t="shared" si="189"/>
      </c>
      <c r="FW61" s="26">
        <f>IF(FT61&lt;&gt;FT60,FT61,"")</f>
      </c>
      <c r="FX61" s="28">
        <f>IF(FW61&lt;&gt;"",FV61,"")</f>
      </c>
      <c r="FY61" s="26">
        <f ca="1">IF(FX61&lt;&gt;"",RANK(FX61,FX$11:INDIRECT(FX$7,FALSE)),"")</f>
      </c>
      <c r="FZ61" s="26">
        <f>IF(H61&lt;&gt;"",MATCH(H61,$FW$11:$FW$62,0),"")</f>
      </c>
      <c r="GA61" s="26">
        <f t="shared" si="81"/>
      </c>
      <c r="GC61" s="27">
        <f t="shared" si="190"/>
      </c>
      <c r="GD61" s="27">
        <f t="shared" si="191"/>
      </c>
      <c r="GE61" s="27">
        <f t="shared" si="239"/>
      </c>
      <c r="GF61" s="27">
        <f>IF(A61&lt;=$GF$8,LARGE($GE$11:$GE$62,A61),"")</f>
      </c>
      <c r="GG61" s="27">
        <f>IF(GF61&lt;&gt;"",VALUE(RIGHT(GF61,9)),0)</f>
        <v>0</v>
      </c>
      <c r="GH61" s="26">
        <f>INT(GG61/1000000)</f>
        <v>0</v>
      </c>
      <c r="GI61" s="26">
        <f>INT(GG61/1000)-GH61*1000</f>
        <v>0</v>
      </c>
      <c r="GJ61" s="26">
        <f>GG61-GH61*1000000-GI61*1000</f>
        <v>0</v>
      </c>
      <c r="GK61" s="26">
        <f>IF(GG61=255255255,"",IF(GG61&gt;0,CHAR(GH61)&amp;CHAR(GI61)&amp;CHAR(GJ61),""))</f>
      </c>
      <c r="GL61" s="28">
        <f>IF(GK61&lt;&gt;"",(GF61-GG61)/10000000000-1000,"")</f>
      </c>
      <c r="GM61" s="26">
        <f>IF(GL61&lt;&gt;"",RANK(GL61,$GL$11:$GL$62),"")</f>
      </c>
    </row>
    <row r="62" spans="1:195" ht="12.75" hidden="1">
      <c r="A62" s="43">
        <v>52</v>
      </c>
      <c r="B62" s="199"/>
      <c r="C62" s="200"/>
      <c r="D62" s="201"/>
      <c r="E62" s="200"/>
      <c r="F62" s="200" t="s">
        <v>13</v>
      </c>
      <c r="G62" s="202"/>
      <c r="H62" s="203">
        <f>IF(G62&lt;&gt;"",LEFT(UPPER(G62),1)&amp;IF(LEN(G62)&gt;1,MID(UPPER(G62),2,1)," ")&amp;IF(LEN(G62)&gt;2,MID(UPPER(G62),3,1)," "),"")</f>
      </c>
      <c r="I62" s="204">
        <f>IF(Z62&lt;&gt;"",J62,"")</f>
      </c>
      <c r="J62" s="204">
        <f>AD62+AO62+BA62+BM62+BY62+CK62+CW62+DI62+DU62+EG62-(MIN(EZ62:FI62)*$EY$2)</f>
        <v>0</v>
      </c>
      <c r="K62" s="205">
        <f ca="1">IF(I62&lt;&gt;"",RANK(I62,J$11:INDIRECT(J$7,FALSE)),"")</f>
      </c>
      <c r="L62" s="204">
        <f>IF(AND(H62&lt;&gt;"",OR(M62&lt;&gt;0,Z62&lt;&gt;"")),M62,"")</f>
      </c>
      <c r="M62" s="204">
        <f>IF(G62&lt;&gt;"",SUMIF($H$11:$H$62,H62,$J$11:$J$62),0)</f>
        <v>0</v>
      </c>
      <c r="N62" s="206">
        <f t="shared" si="160"/>
      </c>
      <c r="O62" s="207"/>
      <c r="P62" s="207">
        <f>IF(O62,O62,"")</f>
      </c>
      <c r="Q62" s="43"/>
      <c r="R62" s="45">
        <f>IF(O62&gt;0,ROUND((1000*Q$5)/O62,1),IF(O62="","",0))</f>
      </c>
      <c r="S62" s="45">
        <f>IF(R62&lt;&gt;"",R62-Q62,-Q62)</f>
        <v>0</v>
      </c>
      <c r="T62" s="208">
        <f ca="1">IF(OR(O62&lt;&gt;"",Q62&lt;&gt;""),RANK(S62,S$11:INDIRECT(S$7,FALSE)),"")</f>
      </c>
      <c r="U62" s="209"/>
      <c r="V62" s="210"/>
      <c r="W62" s="210"/>
      <c r="X62" s="211"/>
      <c r="Y62" s="212"/>
      <c r="Z62" s="207"/>
      <c r="AA62" s="207">
        <f>IF(Z62,Z62,"")</f>
      </c>
      <c r="AB62" s="43"/>
      <c r="AC62" s="45">
        <f>IF(Z62&gt;0,ROUND((1000*AB$5)/Z62,1),IF(Z62="","",0))</f>
      </c>
      <c r="AD62" s="45">
        <f>IF(AC62&lt;&gt;"",AC62-AB62,-AB62)</f>
        <v>0</v>
      </c>
      <c r="AE62" s="208">
        <f ca="1">IF(OR(Z62&lt;&gt;"",AB62&lt;&gt;""),RANK(AD62,AD$11:INDIRECT(AD$7,FALSE)),"")</f>
      </c>
      <c r="AF62" s="209"/>
      <c r="AG62" s="210">
        <f>IF(OR(Z62&lt;&gt;"",AB62&lt;&gt;""),AD62,"")</f>
      </c>
      <c r="AH62" s="210">
        <f>IF(AD62,AD62,0)</f>
        <v>0</v>
      </c>
      <c r="AI62" s="211">
        <f ca="1">IF(OR(Z62&lt;&gt;"",AB62&lt;&gt;""),RANK(AH62,AH$11:INDIRECT(AH$7,FALSE)),"")</f>
      </c>
      <c r="AJ62" s="212"/>
      <c r="AK62" s="207"/>
      <c r="AL62" s="207">
        <f>IF(AK62,AK62,"")</f>
      </c>
      <c r="AM62" s="43"/>
      <c r="AN62" s="45">
        <f>IF(AK62&gt;0,ROUND((1000*AM$5)/AK62,1),IF(AK62="","",0))</f>
      </c>
      <c r="AO62" s="45">
        <f>IF(AN62&lt;&gt;"",AN62-AM62,-AM62)</f>
        <v>0</v>
      </c>
      <c r="AP62" s="208">
        <f ca="1">IF(OR(AK62&lt;&gt;"",AM62&lt;&gt;""),RANK(AO62,AO$11:INDIRECT(AO$7,FALSE)),"")</f>
      </c>
      <c r="AQ62" s="209"/>
      <c r="AR62" s="210">
        <f>IF(OR(AK62&lt;&gt;"",AM62&lt;&gt;""),AO62+AH62-EQ62,"")</f>
      </c>
      <c r="AS62" s="213" t="e">
        <f>IF(AO62&lt;&gt;"",HLOOKUP(MATCH(EQ62,EZ62:FA62,0),Discards,1,FALSE),"")</f>
        <v>#N/A</v>
      </c>
      <c r="AT62" s="210">
        <f t="shared" si="162"/>
        <v>0</v>
      </c>
      <c r="AU62" s="211">
        <f ca="1">IF(OR(AK62&lt;&gt;"",AM62&lt;&gt;""),RANK(AT62,AT$11:INDIRECT(AT$7,FALSE)),"")</f>
      </c>
      <c r="AV62" s="212"/>
      <c r="AW62" s="207"/>
      <c r="AX62" s="207">
        <f>IF(AW62,AW62,"")</f>
      </c>
      <c r="AY62" s="43"/>
      <c r="AZ62" s="45">
        <f>IF(AW62&gt;0,ROUND((1000*AY$5)/AW62,1),IF(AW62="","",0))</f>
      </c>
      <c r="BA62" s="45">
        <f>IF(AZ62&lt;&gt;"",AZ62-AY62,-AY62)</f>
        <v>0</v>
      </c>
      <c r="BB62" s="208">
        <f ca="1">IF(OR(AW62&lt;&gt;"",AY62&lt;&gt;""),RANK(BA62,BA$11:INDIRECT(BA$7,FALSE)),"")</f>
      </c>
      <c r="BC62" s="209"/>
      <c r="BD62" s="210">
        <f>IF(OR(AW62&lt;&gt;"",AY62&lt;&gt;""),BA62+AT62-ER62,"")</f>
      </c>
      <c r="BE62" s="213">
        <f>IF(BD62&lt;&gt;"",HLOOKUP(MATCH(DV62,EB62:EF62,0),Discards,1,FALSE),"")</f>
      </c>
      <c r="BF62" s="210">
        <f>IF(OR(AW62&lt;&gt;"",AY62&lt;&gt;""),BD62,0)</f>
        <v>0</v>
      </c>
      <c r="BG62" s="211">
        <f ca="1">IF(OR(AW62&lt;&gt;"",AY62&lt;&gt;""),RANK(BF62,BF$11:INDIRECT(BF$7,FALSE)),"")</f>
      </c>
      <c r="BH62" s="212"/>
      <c r="BI62" s="207"/>
      <c r="BJ62" s="207">
        <f>IF(BI62,BI62,"")</f>
      </c>
      <c r="BK62" s="43"/>
      <c r="BL62" s="45">
        <f>IF(BI62&gt;0,ROUND((1000*BK$5)/BI62,1),IF(BI62="","",0))</f>
      </c>
      <c r="BM62" s="45">
        <f>IF(BL62&lt;&gt;"",BL62-BK62,-BK62)</f>
        <v>0</v>
      </c>
      <c r="BN62" s="208">
        <f ca="1">IF(OR(BI62&lt;&gt;"",BK62&lt;&gt;""),RANK(BM62,BM$11:INDIRECT(BM$7,FALSE)),"")</f>
      </c>
      <c r="BO62" s="209"/>
      <c r="BP62" s="210">
        <f>IF(OR(BI62&lt;&gt;"",BK62&lt;&gt;""),BM62+BF62-ES62,"")</f>
      </c>
      <c r="BQ62" s="213">
        <f>IF(BP62&lt;&gt;"",HLOOKUP(MATCH(EH62,EN62:ER62,0),Discards,1,FALSE),"")</f>
      </c>
      <c r="BR62" s="210">
        <f>IF(OR(BI62&lt;&gt;"",BK62&lt;&gt;""),BP62,0)</f>
        <v>0</v>
      </c>
      <c r="BS62" s="211">
        <f ca="1">IF(OR(BI62&lt;&gt;"",BK62&lt;&gt;""),RANK(BR62,BR$11:INDIRECT(BR$7,FALSE)),"")</f>
      </c>
      <c r="BT62" s="212"/>
      <c r="BU62" s="207"/>
      <c r="BV62" s="207">
        <f>IF(BU62,BU62,"")</f>
      </c>
      <c r="BW62" s="43"/>
      <c r="BX62" s="45">
        <f>IF(BU62&gt;0,ROUND((1000*BW$5)/BU62,1),IF(BU62="","",0))</f>
      </c>
      <c r="BY62" s="45">
        <f>IF(BX62&lt;&gt;"",BX62-BW62,-BW62)</f>
        <v>0</v>
      </c>
      <c r="BZ62" s="208">
        <f ca="1">IF(OR(BU62&lt;&gt;"",BW62&lt;&gt;""),RANK(BY62,BY$11:INDIRECT(BY$7,FALSE)),"")</f>
      </c>
      <c r="CA62" s="209"/>
      <c r="CB62" s="210">
        <f>IF(OR(BU62&lt;&gt;"",BW62&lt;&gt;""),BY62+BR62-ET62,"")</f>
      </c>
      <c r="CC62" s="213">
        <f>IF(CB62&lt;&gt;"",HLOOKUP(MATCH(ET62,EZ62:FD62,0),Discards,1,FALSE),"")</f>
      </c>
      <c r="CD62" s="210">
        <f>IF(OR(BU62&lt;&gt;"",BW62&lt;&gt;""),CB62,0)</f>
        <v>0</v>
      </c>
      <c r="CE62" s="211">
        <f ca="1">IF(OR(BU62&lt;&gt;"",BW62&lt;&gt;""),RANK(CD62,CD$11:INDIRECT(CD$7,FALSE)),"")</f>
      </c>
      <c r="CF62" s="212"/>
      <c r="CG62" s="207"/>
      <c r="CH62" s="207">
        <f>IF(CG62,CG62,"")</f>
      </c>
      <c r="CI62" s="43"/>
      <c r="CJ62" s="45">
        <f>IF(CG62&gt;0,ROUND((1000*CI$5)/CG62,1),IF(CG62="","",0))</f>
      </c>
      <c r="CK62" s="45">
        <f>IF(CJ62&lt;&gt;"",CJ62-CI62,-CI62)</f>
        <v>0</v>
      </c>
      <c r="CL62" s="208">
        <f ca="1">IF(OR(CG62&lt;&gt;"",CI62&lt;&gt;""),RANK(CK62,CK$11:INDIRECT(CK$7,FALSE)),"")</f>
      </c>
      <c r="CM62" s="209"/>
      <c r="CN62" s="210">
        <f>IF(OR(CG62&lt;&gt;"",CI62&lt;&gt;""),BR62+BY62+CK62-EU62,"")</f>
      </c>
      <c r="CO62" s="213">
        <f>IF(CN62&lt;&gt;"",HLOOKUP(MATCH(EU62,EZ62:FE62,0),Discards,1,FALSE),"")</f>
      </c>
      <c r="CP62" s="210">
        <f>IF(OR(CG62&lt;&gt;"",CI62&lt;&gt;""),CN62,0)</f>
        <v>0</v>
      </c>
      <c r="CQ62" s="211">
        <f ca="1">IF(OR(CG62&lt;&gt;"",CI62&lt;&gt;""),RANK(CP62,CP$11:INDIRECT(CP$7,FALSE)),"")</f>
      </c>
      <c r="CR62" s="212"/>
      <c r="CS62" s="207"/>
      <c r="CT62" s="207">
        <f>IF(CS62,CS62,"")</f>
      </c>
      <c r="CU62" s="43"/>
      <c r="CV62" s="45">
        <f>IF(CS62&gt;0,ROUND((1000*CU$5)/CS62,1),IF(CS62="","",0))</f>
      </c>
      <c r="CW62" s="45">
        <f>IF(CV62&lt;&gt;"",CV62-CU62,-CU62)</f>
        <v>0</v>
      </c>
      <c r="CX62" s="208">
        <f ca="1">IF(OR(CS62&lt;&gt;"",CU62&lt;&gt;""),RANK(CW62,CW$11:INDIRECT(CW$7,FALSE)),"")</f>
      </c>
      <c r="CY62" s="209"/>
      <c r="CZ62" s="210">
        <f>IF(OR(CS62&lt;&gt;"",CU62&lt;&gt;""),BR62+BY62+CK62+CW62-EV62,"")</f>
      </c>
      <c r="DA62" s="213">
        <f>IF(CZ62&lt;&gt;"",HLOOKUP(MATCH(EV62,EZ62:FF62,0),Discards,1,FALSE),"")</f>
      </c>
      <c r="DB62" s="210">
        <f>IF(OR(CS62&lt;&gt;"",CU62&lt;&gt;""),CZ62,0)</f>
        <v>0</v>
      </c>
      <c r="DC62" s="211">
        <f ca="1">IF(OR(CS62&lt;&gt;"",CU62&lt;&gt;""),RANK(DB62,DB$11:INDIRECT(DB$7,FALSE)),"")</f>
      </c>
      <c r="DD62" s="212"/>
      <c r="DE62" s="207"/>
      <c r="DF62" s="207">
        <f>IF(DE62,DE62,"")</f>
      </c>
      <c r="DG62" s="43"/>
      <c r="DH62" s="45">
        <f>IF(DE62&gt;0,ROUND((1000*DG$5)/DE62,1),IF(DE62="","",0))</f>
      </c>
      <c r="DI62" s="45">
        <f>IF(DH62&lt;&gt;"",DH62-DG62,-DG62)</f>
        <v>0</v>
      </c>
      <c r="DJ62" s="208">
        <f ca="1">IF(OR(DE62&lt;&gt;"",DG62&lt;&gt;""),RANK(DI62,DI$11:INDIRECT(DI$7,FALSE)),"")</f>
      </c>
      <c r="DK62" s="209"/>
      <c r="DL62" s="210">
        <f>IF(OR(DE62&lt;&gt;"",DG62&lt;&gt;""),BR62+BY62+CK62+CW62+DI62-EW62,"")</f>
      </c>
      <c r="DM62" s="213">
        <f>IF(DL62&lt;&gt;"",HLOOKUP(MATCH(EW62,EZ62:FG62,0),Discards,1,FALSE),"")</f>
      </c>
      <c r="DN62" s="210">
        <f>IF(OR(DE62&lt;&gt;"",DG62&lt;&gt;""),DL62,0)</f>
        <v>0</v>
      </c>
      <c r="DO62" s="211">
        <f ca="1">IF(OR(DE62&lt;&gt;"",DG62&lt;&gt;""),RANK(DN62,DN$11:INDIRECT(DN$7,FALSE)),"")</f>
      </c>
      <c r="DP62" s="212"/>
      <c r="DQ62" s="207"/>
      <c r="DR62" s="207">
        <f>IF(DQ62,DQ62,"")</f>
      </c>
      <c r="DS62" s="43"/>
      <c r="DT62" s="45">
        <f>IF(DQ62&gt;0,ROUND((1000*DS$5)/DQ62,1),IF(DQ62="","",0))</f>
      </c>
      <c r="DU62" s="45">
        <f>IF(DT62&lt;&gt;"",DT62-DS62,-DS62)</f>
        <v>0</v>
      </c>
      <c r="DV62" s="208">
        <f ca="1">IF(OR(DQ62&lt;&gt;"",DS62&lt;&gt;""),RANK(DU62,DU$11:INDIRECT(DU$7,FALSE)),"")</f>
      </c>
      <c r="DW62" s="209"/>
      <c r="DX62" s="210">
        <f>IF(OR(DQ62&lt;&gt;"",DS62&lt;&gt;""),BR62+BY62+CK62+CW62+DI62+DU62-EX62,"")</f>
      </c>
      <c r="DY62" s="213">
        <f>IF(DX62&lt;&gt;"",HLOOKUP(MATCH(EX62,EZ62:FH62,0),Discards,1,FALSE),"")</f>
      </c>
      <c r="DZ62" s="210">
        <f>IF(OR(DQ62&lt;&gt;"",DS62&lt;&gt;""),DX62,0)</f>
        <v>0</v>
      </c>
      <c r="EA62" s="211">
        <f ca="1">IF(OR(DQ62&lt;&gt;"",DS62&lt;&gt;""),RANK(DZ62,DZ$11:INDIRECT(DZ$7,FALSE)),"")</f>
      </c>
      <c r="EB62" s="212"/>
      <c r="EC62" s="207"/>
      <c r="ED62" s="207">
        <f>IF(EC62,EC62,"")</f>
      </c>
      <c r="EE62" s="43"/>
      <c r="EF62" s="45">
        <f>IF(EC62&gt;0,ROUND((1000*EE$5)/EC62,1),IF(EC62="","",0))</f>
      </c>
      <c r="EG62" s="45">
        <f>IF(EF62&lt;&gt;"",EF62-EE62,-EE62)</f>
        <v>0</v>
      </c>
      <c r="EH62" s="208">
        <f ca="1">IF(OR(EC62&lt;&gt;"",EE62&lt;&gt;""),RANK(EG62,EG$11:INDIRECT(EG$7,FALSE)),"")</f>
      </c>
      <c r="EI62" s="209"/>
      <c r="EJ62" s="210">
        <f>IF(OR(EC62&lt;&gt;"",EE62&lt;&gt;""),BR62+BY62+CK62+CW62+DI62+DU62+EG62-EY62,"")</f>
      </c>
      <c r="EK62" s="213">
        <f>IF(EJ62&lt;&gt;"",HLOOKUP(MATCH(EY62,EZ62:FI62,0),Discards,1,FALSE),"")</f>
      </c>
      <c r="EL62" s="210">
        <f>IF(OR(EC62&lt;&gt;"",EE62&lt;&gt;""),EJ62,0)</f>
        <v>0</v>
      </c>
      <c r="EM62" s="211">
        <f ca="1">IF(OR(EC62&lt;&gt;"",EE62&lt;&gt;""),RANK(EL62,EL$11:INDIRECT(EL$7,FALSE)),"")</f>
      </c>
      <c r="EN62" s="212"/>
      <c r="EP62" s="112">
        <f>IF(C62&lt;&gt;"",1,0)</f>
        <v>0</v>
      </c>
      <c r="EQ62" s="28">
        <f>MIN($EZ62:FA62)</f>
        <v>0</v>
      </c>
      <c r="ER62" s="28">
        <f>MIN($EZ62:FB62)</f>
        <v>0</v>
      </c>
      <c r="ES62" s="28">
        <f>MIN($EZ62:FC62)</f>
        <v>0</v>
      </c>
      <c r="ET62" s="28">
        <f>MIN($EZ62:FD62)</f>
        <v>0</v>
      </c>
      <c r="EU62" s="28">
        <f>MIN($EZ62:FE62)</f>
        <v>0</v>
      </c>
      <c r="EV62" s="28">
        <f>MIN($EZ62:FF62)</f>
        <v>0</v>
      </c>
      <c r="EW62" s="28">
        <f>MIN($EZ62:FG62)</f>
        <v>0</v>
      </c>
      <c r="EX62" s="28">
        <f>MIN($EZ62:FH62)</f>
        <v>0</v>
      </c>
      <c r="EY62" s="28">
        <f>MIN($EZ62:FI62)</f>
        <v>0</v>
      </c>
      <c r="EZ62" s="28">
        <f t="shared" si="179"/>
      </c>
      <c r="FA62" s="28">
        <f t="shared" si="180"/>
      </c>
      <c r="FB62" s="28">
        <f t="shared" si="181"/>
      </c>
      <c r="FC62" s="28">
        <f t="shared" si="182"/>
      </c>
      <c r="FD62" s="28">
        <f t="shared" si="183"/>
      </c>
      <c r="FE62" s="28">
        <f t="shared" si="184"/>
      </c>
      <c r="FF62" s="28">
        <f t="shared" si="185"/>
      </c>
      <c r="FG62" s="28">
        <f t="shared" si="186"/>
      </c>
      <c r="FH62" s="28">
        <f t="shared" si="187"/>
      </c>
      <c r="FI62" s="28">
        <f t="shared" si="188"/>
      </c>
      <c r="FL62" s="26">
        <f>IF(H62&lt;&gt;"",(CODE(MID(H62,1,1))*1000)*1000,255000000)</f>
        <v>255000000</v>
      </c>
      <c r="FM62" s="26">
        <f>IF(H62&lt;&gt;"",CODE(MID(H62,2,1))*1000,255000)</f>
        <v>255000</v>
      </c>
      <c r="FN62" s="26">
        <f>IF(H62&lt;&gt;"",CODE(MID(H62,3,1)),255)</f>
        <v>255</v>
      </c>
      <c r="FO62" s="26">
        <f>IF(C62&lt;&gt;"",SUM(FL62:FN62),0)</f>
        <v>0</v>
      </c>
      <c r="FP62" s="26">
        <f ca="1">IF(FO62&gt;0,SMALL($FO$11:INDIRECT($FO$7,FALSE),A62),0)</f>
        <v>0</v>
      </c>
      <c r="FQ62" s="26">
        <f>INT(FP62/1000000)</f>
        <v>0</v>
      </c>
      <c r="FR62" s="26">
        <f>INT(FP62/1000)-FQ62*1000</f>
        <v>0</v>
      </c>
      <c r="FS62" s="26">
        <f>FP62-FQ62*1000000-FR62*1000</f>
        <v>0</v>
      </c>
      <c r="FT62" s="26">
        <f>IF(FP62=255255255,"",IF(FP62&gt;0,CHAR(FQ62)&amp;CHAR(FR62)&amp;CHAR(FS62),""))</f>
      </c>
      <c r="FU62" s="26">
        <f>COUNTIF($FT$11:$FT$34,FT62)</f>
        <v>24</v>
      </c>
      <c r="FV62" s="28">
        <f t="shared" si="189"/>
      </c>
      <c r="FW62" s="26">
        <f>IF(FT62&lt;&gt;FT61,FT62,"")</f>
      </c>
      <c r="FX62" s="28">
        <f>IF(FW62&lt;&gt;"",FV62,"")</f>
      </c>
      <c r="FY62" s="26">
        <f ca="1">IF(FX62&lt;&gt;"",RANK(FX62,FX$11:INDIRECT(FX$7,FALSE)),"")</f>
      </c>
      <c r="FZ62" s="26">
        <f>IF(H62&lt;&gt;"",MATCH(H62,$FW$11:$FW$62,0),"")</f>
      </c>
      <c r="GA62" s="26">
        <f t="shared" si="81"/>
      </c>
      <c r="GC62" s="27">
        <f t="shared" si="190"/>
      </c>
      <c r="GD62" s="27">
        <f t="shared" si="191"/>
      </c>
      <c r="GE62" s="27">
        <f t="shared" si="239"/>
      </c>
      <c r="GF62" s="27">
        <f>IF(A62&lt;=$GF$8,LARGE($GE$11:$GE$62,A62),"")</f>
      </c>
      <c r="GG62" s="27">
        <f>IF(GF62&lt;&gt;"",VALUE(RIGHT(GF62,9)),0)</f>
        <v>0</v>
      </c>
      <c r="GH62" s="26">
        <f>INT(GG62/1000000)</f>
        <v>0</v>
      </c>
      <c r="GI62" s="26">
        <f>INT(GG62/1000)-GH62*1000</f>
        <v>0</v>
      </c>
      <c r="GJ62" s="26">
        <f>GG62-GH62*1000000-GI62*1000</f>
        <v>0</v>
      </c>
      <c r="GK62" s="26">
        <f>IF(GG62=255255255,"",IF(GG62&gt;0,CHAR(GH62)&amp;CHAR(GI62)&amp;CHAR(GJ62),""))</f>
      </c>
      <c r="GL62" s="28">
        <f>IF(GK62&lt;&gt;"",(GF62-GG62)/10000000000-1000,"")</f>
      </c>
      <c r="GM62" s="26">
        <f>IF(GL62&lt;&gt;"",RANK(GL62,$GL$11:$GL$62),"")</f>
      </c>
    </row>
    <row r="63" spans="10:149" ht="12.75">
      <c r="J63" s="26">
        <f>AD63+AO63+BA63+BM63+BY63+CK63+CW63+DI63+DU63+EG63-(MIN(EZ63:FI63)*$EY$2)</f>
        <v>0</v>
      </c>
      <c r="EQ63" s="28"/>
      <c r="ER63" s="28"/>
      <c r="ES63" s="28"/>
    </row>
  </sheetData>
  <sheetProtection password="CF4D" sheet="1" objects="1" scenarios="1"/>
  <mergeCells count="1">
    <mergeCell ref="G1:G4"/>
  </mergeCells>
  <conditionalFormatting sqref="G62">
    <cfRule type="expression" priority="1" dxfId="0" stopIfTrue="1">
      <formula>(N62=1)</formula>
    </cfRule>
    <cfRule type="expression" priority="2" dxfId="1" stopIfTrue="1">
      <formula>(N62=2)</formula>
    </cfRule>
    <cfRule type="expression" priority="3" dxfId="2" stopIfTrue="1">
      <formula>(N62=3)</formula>
    </cfRule>
  </conditionalFormatting>
  <conditionalFormatting sqref="C11:C62">
    <cfRule type="expression" priority="4" dxfId="0" stopIfTrue="1">
      <formula>(K11=1)</formula>
    </cfRule>
    <cfRule type="expression" priority="5" dxfId="1" stopIfTrue="1">
      <formula>(K11=2)</formula>
    </cfRule>
    <cfRule type="expression" priority="6" dxfId="2" stopIfTrue="1">
      <formula>(K11=3)</formula>
    </cfRule>
  </conditionalFormatting>
  <conditionalFormatting sqref="AK3 AM3">
    <cfRule type="expression" priority="7" dxfId="3" stopIfTrue="1">
      <formula>($F$8=2)</formula>
    </cfRule>
  </conditionalFormatting>
  <conditionalFormatting sqref="AW3 AY3">
    <cfRule type="expression" priority="8" dxfId="3" stopIfTrue="1">
      <formula>($F$8=3)</formula>
    </cfRule>
  </conditionalFormatting>
  <conditionalFormatting sqref="BI3 BK3">
    <cfRule type="expression" priority="9" dxfId="3" stopIfTrue="1">
      <formula>($F$8=4)</formula>
    </cfRule>
  </conditionalFormatting>
  <conditionalFormatting sqref="BU3 BW3">
    <cfRule type="expression" priority="10" dxfId="3" stopIfTrue="1">
      <formula>($F$8=5)</formula>
    </cfRule>
  </conditionalFormatting>
  <conditionalFormatting sqref="CG3 CI3">
    <cfRule type="expression" priority="11" dxfId="3" stopIfTrue="1">
      <formula>($F$8=6)</formula>
    </cfRule>
  </conditionalFormatting>
  <conditionalFormatting sqref="CS3 CU3">
    <cfRule type="expression" priority="12" dxfId="3" stopIfTrue="1">
      <formula>($F$8=7)</formula>
    </cfRule>
  </conditionalFormatting>
  <conditionalFormatting sqref="DE3 DG3">
    <cfRule type="expression" priority="13" dxfId="3" stopIfTrue="1">
      <formula>($F$8=8)</formula>
    </cfRule>
  </conditionalFormatting>
  <conditionalFormatting sqref="DQ3 DS3">
    <cfRule type="expression" priority="14" dxfId="3" stopIfTrue="1">
      <formula>($F$8=9)</formula>
    </cfRule>
  </conditionalFormatting>
  <conditionalFormatting sqref="EC3 EE3">
    <cfRule type="expression" priority="15" dxfId="3" stopIfTrue="1">
      <formula>($F$8=10)</formula>
    </cfRule>
  </conditionalFormatting>
  <conditionalFormatting sqref="G11:G61">
    <cfRule type="expression" priority="16" dxfId="4" stopIfTrue="1">
      <formula>(N11=1)</formula>
    </cfRule>
    <cfRule type="expression" priority="17" dxfId="5" stopIfTrue="1">
      <formula>(N11=2)</formula>
    </cfRule>
    <cfRule type="expression" priority="18" dxfId="6" stopIfTrue="1">
      <formula>(N11=3)</formula>
    </cfRule>
  </conditionalFormatting>
  <printOptions horizontalCentered="1" verticalCentered="1"/>
  <pageMargins left="0.11811023622047245" right="0.3937007874015748" top="0.11811023622047245" bottom="0.11811023622047245" header="0.3937007874015748" footer="0.3937007874015748"/>
  <pageSetup fitToWidth="3" horizontalDpi="200" verticalDpi="200" orientation="landscape" paperSize="9" scale="50" r:id="rId4"/>
  <headerFooter alignWithMargins="0">
    <oddHeader>&amp;CF3F Master Scoresheet&amp;R&amp;F</oddHeader>
    <oddFooter>&amp;CPage &amp;P of &amp;N&amp;R&amp;D &amp;T</oddFooter>
  </headerFooter>
  <colBreaks count="2" manualBreakCount="2">
    <brk id="60" max="61" man="1"/>
    <brk id="108" max="61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F.A.C.T.S.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McCurdy</dc:creator>
  <cp:keywords/>
  <dc:description/>
  <cp:lastModifiedBy>Michael Shellim</cp:lastModifiedBy>
  <cp:lastPrinted>1997-11-11T02:53:17Z</cp:lastPrinted>
  <dcterms:created xsi:type="dcterms:W3CDTF">1996-08-15T17:51:04Z</dcterms:created>
  <dcterms:modified xsi:type="dcterms:W3CDTF">2009-09-07T16:13:27Z</dcterms:modified>
  <cp:category/>
  <cp:version/>
  <cp:contentType/>
  <cp:contentStatus/>
</cp:coreProperties>
</file>